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hegovmy-my.sharepoint.com/personal/miza_alwani_mohe_gov_my/Documents/CoE/2024/6. Bengkel Permohonan HICoE 2024/1. Dokumen Bengkel/4. Instrumen HICoE_Teras Penyelidikan dan Inovasi/"/>
    </mc:Choice>
  </mc:AlternateContent>
  <xr:revisionPtr revIDLastSave="4" documentId="8_{40DB29C5-7EB2-4047-98EA-42BF70FB8CA3}" xr6:coauthVersionLast="47" xr6:coauthVersionMax="47" xr10:uidLastSave="{5F7527EA-7882-4655-9D88-D36392510BD4}"/>
  <bookViews>
    <workbookView xWindow="-120" yWindow="-120" windowWidth="29040" windowHeight="15720" tabRatio="596" xr2:uid="{00000000-000D-0000-FFFF-FFFF00000000}"/>
  </bookViews>
  <sheets>
    <sheet name="Main" sheetId="18" r:id="rId1"/>
    <sheet name="Data (Section A-H)" sheetId="16" r:id="rId2"/>
    <sheet name="Summary (Section B-H)" sheetId="17" r:id="rId3"/>
    <sheet name="Result" sheetId="14" r:id="rId4"/>
    <sheet name="Endorsement RMC &amp; TNC(PI)" sheetId="19" state="hidden" r:id="rId5"/>
  </sheets>
  <definedNames>
    <definedName name="_xlnm.Print_Area" localSheetId="4">'Endorsement RMC &amp; TNC(PI)'!$A$1:$E$22</definedName>
    <definedName name="_xlnm.Print_Area" localSheetId="0">Main!$A$1:$R$72</definedName>
    <definedName name="_xlnm.Print_Area" localSheetId="3">Result!$A$1:$F$22</definedName>
    <definedName name="_xlnm.Print_Area" localSheetId="2">'Summary (Section B-H)'!$B$2:$P$110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16" l="1"/>
  <c r="J42" i="17"/>
  <c r="J41" i="17"/>
  <c r="J39" i="17"/>
  <c r="F9" i="16"/>
  <c r="G9" i="16"/>
  <c r="S19" i="17" s="1"/>
  <c r="X19" i="17" s="1"/>
  <c r="M19" i="17" s="1"/>
  <c r="S20" i="17"/>
  <c r="X20" i="17"/>
  <c r="M20" i="17"/>
  <c r="H9" i="16"/>
  <c r="N19" i="17" s="1"/>
  <c r="T20" i="17"/>
  <c r="Y20" i="17" s="1"/>
  <c r="N20" i="17" s="1"/>
  <c r="I9" i="16"/>
  <c r="O77" i="17" s="1"/>
  <c r="E9" i="16"/>
  <c r="Q19" i="17"/>
  <c r="V19" i="17" s="1"/>
  <c r="K19" i="17" s="1"/>
  <c r="J156" i="16"/>
  <c r="J15" i="17"/>
  <c r="I10" i="17"/>
  <c r="F50" i="16"/>
  <c r="J50" i="16" s="1"/>
  <c r="F30" i="16"/>
  <c r="G50" i="16"/>
  <c r="G31" i="16"/>
  <c r="H50" i="16"/>
  <c r="H31" i="16" s="1"/>
  <c r="I50" i="16"/>
  <c r="E50" i="16"/>
  <c r="F47" i="16"/>
  <c r="G47" i="16"/>
  <c r="H47" i="16"/>
  <c r="H30" i="16" s="1"/>
  <c r="I47" i="16"/>
  <c r="I30" i="16" s="1"/>
  <c r="E47" i="16"/>
  <c r="J47" i="16"/>
  <c r="E30" i="16"/>
  <c r="K6" i="17"/>
  <c r="K17" i="17" s="1"/>
  <c r="L6" i="17"/>
  <c r="L17" i="17" s="1"/>
  <c r="M6" i="17"/>
  <c r="N6" i="17"/>
  <c r="O6" i="17"/>
  <c r="J10" i="17"/>
  <c r="J11" i="17"/>
  <c r="J12" i="17"/>
  <c r="J13" i="17"/>
  <c r="J14" i="17"/>
  <c r="J16" i="17"/>
  <c r="O16" i="17"/>
  <c r="J17" i="17"/>
  <c r="J18" i="17"/>
  <c r="J19" i="17"/>
  <c r="J20" i="17"/>
  <c r="J21" i="17"/>
  <c r="M21" i="17"/>
  <c r="J22" i="17"/>
  <c r="N22" i="17"/>
  <c r="E23" i="17"/>
  <c r="J30" i="17"/>
  <c r="J31" i="17"/>
  <c r="O31" i="17"/>
  <c r="J33" i="17"/>
  <c r="J34" i="17"/>
  <c r="J35" i="17"/>
  <c r="J37" i="17"/>
  <c r="J38" i="17"/>
  <c r="J40" i="17"/>
  <c r="J43" i="17"/>
  <c r="J44" i="17"/>
  <c r="E45" i="17"/>
  <c r="I51" i="17"/>
  <c r="J51" i="17"/>
  <c r="J52" i="17"/>
  <c r="J54" i="17"/>
  <c r="D9" i="14"/>
  <c r="K53" i="17"/>
  <c r="L53" i="17"/>
  <c r="M53" i="17"/>
  <c r="N53" i="17"/>
  <c r="O53" i="17"/>
  <c r="E54" i="17"/>
  <c r="J66" i="17"/>
  <c r="K66" i="17" s="1"/>
  <c r="L66" i="17"/>
  <c r="J67" i="17"/>
  <c r="L67" i="17" s="1"/>
  <c r="J68" i="17"/>
  <c r="J69" i="17"/>
  <c r="N69" i="17" s="1"/>
  <c r="I70" i="17"/>
  <c r="J70" i="17"/>
  <c r="N70" i="17" s="1"/>
  <c r="E71" i="17"/>
  <c r="J77" i="17"/>
  <c r="J78" i="17"/>
  <c r="J79" i="17"/>
  <c r="J80" i="17"/>
  <c r="J81" i="17"/>
  <c r="J82" i="17"/>
  <c r="E83" i="17"/>
  <c r="J89" i="17"/>
  <c r="J90" i="17"/>
  <c r="M90" i="17"/>
  <c r="J91" i="17"/>
  <c r="J92" i="17"/>
  <c r="M92" i="17"/>
  <c r="J93" i="17"/>
  <c r="M93" i="17"/>
  <c r="N93" i="17"/>
  <c r="K93" i="17"/>
  <c r="J94" i="17"/>
  <c r="E95" i="17"/>
  <c r="J101" i="17"/>
  <c r="J102" i="17"/>
  <c r="N102" i="17"/>
  <c r="K102" i="17"/>
  <c r="J104" i="17"/>
  <c r="M104" i="17"/>
  <c r="N104" i="17"/>
  <c r="J106" i="17"/>
  <c r="M106" i="17"/>
  <c r="L106" i="17"/>
  <c r="L110" i="17" s="1"/>
  <c r="J108" i="17"/>
  <c r="N108" i="17"/>
  <c r="P108" i="17"/>
  <c r="E110" i="17"/>
  <c r="J10" i="16"/>
  <c r="J11" i="16"/>
  <c r="J12" i="16"/>
  <c r="J13" i="16"/>
  <c r="E14" i="16"/>
  <c r="K34" i="17" s="1"/>
  <c r="F14" i="16"/>
  <c r="L35" i="17" s="1"/>
  <c r="G14" i="16"/>
  <c r="M38" i="17" s="1"/>
  <c r="H14" i="16"/>
  <c r="J14" i="16" s="1"/>
  <c r="I14" i="16"/>
  <c r="O80" i="17" s="1"/>
  <c r="L14" i="16"/>
  <c r="K15" i="17" s="1"/>
  <c r="M14" i="16"/>
  <c r="L15" i="17"/>
  <c r="N14" i="16"/>
  <c r="M15" i="17"/>
  <c r="O14" i="16"/>
  <c r="N15" i="17"/>
  <c r="P14" i="16"/>
  <c r="O15" i="17"/>
  <c r="J15" i="16"/>
  <c r="J16" i="16"/>
  <c r="J17" i="16"/>
  <c r="J18" i="16"/>
  <c r="E19" i="16"/>
  <c r="F19" i="16"/>
  <c r="G19" i="16"/>
  <c r="J19" i="16" s="1"/>
  <c r="H19" i="16"/>
  <c r="I19" i="16"/>
  <c r="J20" i="16"/>
  <c r="J21" i="16"/>
  <c r="E22" i="16"/>
  <c r="K33" i="17" s="1"/>
  <c r="F22" i="16"/>
  <c r="G22" i="16"/>
  <c r="M42" i="17"/>
  <c r="H22" i="16"/>
  <c r="N42" i="17" s="1"/>
  <c r="N43" i="17"/>
  <c r="I22" i="16"/>
  <c r="O41" i="17" s="1"/>
  <c r="O33" i="17"/>
  <c r="E23" i="16"/>
  <c r="J23" i="16" s="1"/>
  <c r="F23" i="16"/>
  <c r="L33" i="17" s="1"/>
  <c r="G23" i="16"/>
  <c r="H23" i="16"/>
  <c r="I23" i="16"/>
  <c r="J24" i="16"/>
  <c r="J25" i="16"/>
  <c r="J26" i="16"/>
  <c r="J27" i="16"/>
  <c r="J28" i="16"/>
  <c r="J29" i="16"/>
  <c r="E35" i="16"/>
  <c r="J35" i="16" s="1"/>
  <c r="F35" i="16"/>
  <c r="F31" i="16" s="1"/>
  <c r="G35" i="16"/>
  <c r="H35" i="16"/>
  <c r="I35" i="16"/>
  <c r="J36" i="16"/>
  <c r="J37" i="16"/>
  <c r="E38" i="16"/>
  <c r="E34" i="16" s="1"/>
  <c r="E32" i="16"/>
  <c r="F38" i="16"/>
  <c r="F32" i="16" s="1"/>
  <c r="F34" i="16"/>
  <c r="G38" i="16"/>
  <c r="G34" i="16" s="1"/>
  <c r="G32" i="16"/>
  <c r="H38" i="16"/>
  <c r="H32" i="16" s="1"/>
  <c r="I38" i="16"/>
  <c r="J39" i="16"/>
  <c r="J40" i="16"/>
  <c r="E41" i="16"/>
  <c r="J41" i="16" s="1"/>
  <c r="E33" i="16"/>
  <c r="J33" i="16" s="1"/>
  <c r="F41" i="16"/>
  <c r="F33" i="16"/>
  <c r="G41" i="16"/>
  <c r="G33" i="16"/>
  <c r="H41" i="16"/>
  <c r="H33" i="16" s="1"/>
  <c r="I41" i="16"/>
  <c r="I33" i="16"/>
  <c r="J42" i="16"/>
  <c r="J43" i="16"/>
  <c r="E44" i="16"/>
  <c r="F44" i="16"/>
  <c r="G44" i="16"/>
  <c r="H44" i="16"/>
  <c r="H34" i="16" s="1"/>
  <c r="I44" i="16"/>
  <c r="I32" i="16" s="1"/>
  <c r="J45" i="16"/>
  <c r="J46" i="16"/>
  <c r="J48" i="16"/>
  <c r="J49" i="16"/>
  <c r="J51" i="16"/>
  <c r="J52" i="16"/>
  <c r="J53" i="16"/>
  <c r="J54" i="16"/>
  <c r="J55" i="16"/>
  <c r="P52" i="17" s="1"/>
  <c r="J56" i="16"/>
  <c r="E60" i="16"/>
  <c r="K7" i="17"/>
  <c r="K14" i="17" s="1"/>
  <c r="F60" i="16"/>
  <c r="L7" i="17" s="1"/>
  <c r="G60" i="16"/>
  <c r="M7" i="17"/>
  <c r="H60" i="16"/>
  <c r="N7" i="17"/>
  <c r="I60" i="16"/>
  <c r="O7" i="17"/>
  <c r="O12" i="17" s="1"/>
  <c r="O13" i="17"/>
  <c r="J61" i="16"/>
  <c r="J62" i="16"/>
  <c r="J63" i="16"/>
  <c r="J64" i="16"/>
  <c r="J66" i="16"/>
  <c r="J67" i="16"/>
  <c r="E68" i="16"/>
  <c r="J68" i="16" s="1"/>
  <c r="F68" i="16"/>
  <c r="G68" i="16"/>
  <c r="H68" i="16"/>
  <c r="I68" i="16"/>
  <c r="J69" i="16"/>
  <c r="J70" i="16"/>
  <c r="J71" i="16"/>
  <c r="J72" i="16"/>
  <c r="E78" i="16"/>
  <c r="F78" i="16"/>
  <c r="G78" i="16"/>
  <c r="H78" i="16"/>
  <c r="I78" i="16"/>
  <c r="J79" i="16"/>
  <c r="J80" i="16"/>
  <c r="P31" i="17" s="1"/>
  <c r="E81" i="16"/>
  <c r="F81" i="16"/>
  <c r="J81" i="16" s="1"/>
  <c r="G81" i="16"/>
  <c r="H81" i="16"/>
  <c r="I81" i="16"/>
  <c r="J82" i="16"/>
  <c r="J83" i="16"/>
  <c r="J84" i="16"/>
  <c r="E85" i="16"/>
  <c r="F85" i="16"/>
  <c r="G85" i="16"/>
  <c r="H85" i="16"/>
  <c r="J85" i="16" s="1"/>
  <c r="I85" i="16"/>
  <c r="J86" i="16"/>
  <c r="J87" i="16"/>
  <c r="J88" i="16"/>
  <c r="K39" i="17"/>
  <c r="P39" i="17"/>
  <c r="J89" i="16"/>
  <c r="J90" i="16"/>
  <c r="J92" i="16"/>
  <c r="J93" i="16"/>
  <c r="J94" i="16"/>
  <c r="E100" i="16"/>
  <c r="K52" i="17" s="1"/>
  <c r="F100" i="16"/>
  <c r="L52" i="17" s="1"/>
  <c r="G100" i="16"/>
  <c r="M52" i="17" s="1"/>
  <c r="H100" i="16"/>
  <c r="I100" i="16"/>
  <c r="O52" i="17"/>
  <c r="J101" i="16"/>
  <c r="J102" i="16"/>
  <c r="P53" i="17"/>
  <c r="E108" i="16"/>
  <c r="F108" i="16"/>
  <c r="G108" i="16"/>
  <c r="H108" i="16"/>
  <c r="I108" i="16"/>
  <c r="J109" i="16"/>
  <c r="J110" i="16"/>
  <c r="E111" i="16"/>
  <c r="F111" i="16"/>
  <c r="G111" i="16"/>
  <c r="H111" i="16"/>
  <c r="I111" i="16"/>
  <c r="J112" i="16"/>
  <c r="J113" i="16"/>
  <c r="J116" i="16"/>
  <c r="J117" i="16"/>
  <c r="J118" i="16"/>
  <c r="P70" i="17" s="1"/>
  <c r="J124" i="16"/>
  <c r="J125" i="16"/>
  <c r="J126" i="16"/>
  <c r="J127" i="16"/>
  <c r="J128" i="16"/>
  <c r="P81" i="17"/>
  <c r="J129" i="16"/>
  <c r="K82" i="17" s="1"/>
  <c r="P82" i="17"/>
  <c r="E135" i="16"/>
  <c r="K89" i="17"/>
  <c r="F135" i="16"/>
  <c r="L89" i="17" s="1"/>
  <c r="L95" i="17" s="1"/>
  <c r="G135" i="16"/>
  <c r="H135" i="16"/>
  <c r="N89" i="17"/>
  <c r="N95" i="17" s="1"/>
  <c r="I135" i="16"/>
  <c r="O89" i="17"/>
  <c r="J136" i="16"/>
  <c r="J137" i="16"/>
  <c r="J138" i="16"/>
  <c r="P90" i="17" s="1"/>
  <c r="J139" i="16"/>
  <c r="K91" i="17" s="1"/>
  <c r="P91" i="17"/>
  <c r="J140" i="16"/>
  <c r="P92" i="17" s="1"/>
  <c r="J141" i="16"/>
  <c r="P93" i="17"/>
  <c r="J142" i="16"/>
  <c r="P94" i="17" s="1"/>
  <c r="J148" i="16"/>
  <c r="P101" i="17"/>
  <c r="J149" i="16"/>
  <c r="P102" i="17"/>
  <c r="J151" i="16"/>
  <c r="P104" i="17"/>
  <c r="J153" i="16"/>
  <c r="P106" i="17" s="1"/>
  <c r="J154" i="16"/>
  <c r="J65" i="16"/>
  <c r="M102" i="17"/>
  <c r="K90" i="17"/>
  <c r="L90" i="17"/>
  <c r="J115" i="16"/>
  <c r="J114" i="16"/>
  <c r="K106" i="17"/>
  <c r="O34" i="17"/>
  <c r="N52" i="17"/>
  <c r="U20" i="17"/>
  <c r="Z20" i="17"/>
  <c r="O20" i="17" s="1"/>
  <c r="L102" i="17"/>
  <c r="K81" i="17"/>
  <c r="J78" i="16"/>
  <c r="J60" i="16"/>
  <c r="M30" i="17"/>
  <c r="Q20" i="17"/>
  <c r="V20" i="17"/>
  <c r="K20" i="17"/>
  <c r="L22" i="17"/>
  <c r="J95" i="17"/>
  <c r="D12" i="14"/>
  <c r="M108" i="17"/>
  <c r="N21" i="17"/>
  <c r="L104" i="17"/>
  <c r="L108" i="17"/>
  <c r="K22" i="17"/>
  <c r="K104" i="17"/>
  <c r="J83" i="17"/>
  <c r="D11" i="14"/>
  <c r="O102" i="17"/>
  <c r="O110" i="17" s="1"/>
  <c r="M67" i="17"/>
  <c r="O40" i="17"/>
  <c r="K31" i="17"/>
  <c r="L21" i="17"/>
  <c r="M22" i="17"/>
  <c r="O22" i="17"/>
  <c r="L92" i="17"/>
  <c r="O108" i="17"/>
  <c r="J110" i="17"/>
  <c r="D13" i="14"/>
  <c r="O21" i="17"/>
  <c r="M44" i="17"/>
  <c r="O90" i="17"/>
  <c r="K21" i="17"/>
  <c r="P21" i="17" s="1"/>
  <c r="N90" i="17"/>
  <c r="O92" i="17"/>
  <c r="K92" i="17"/>
  <c r="K108" i="17"/>
  <c r="O104" i="17"/>
  <c r="N92" i="17"/>
  <c r="O78" i="17"/>
  <c r="N106" i="17"/>
  <c r="N110" i="17"/>
  <c r="N31" i="17"/>
  <c r="L93" i="17"/>
  <c r="O93" i="17"/>
  <c r="M31" i="17"/>
  <c r="O106" i="17"/>
  <c r="J45" i="17"/>
  <c r="D8" i="14"/>
  <c r="J23" i="17"/>
  <c r="D7" i="14"/>
  <c r="L31" i="17"/>
  <c r="M43" i="17"/>
  <c r="G30" i="16"/>
  <c r="N44" i="17"/>
  <c r="K44" i="17"/>
  <c r="M33" i="17"/>
  <c r="O44" i="17"/>
  <c r="N67" i="17"/>
  <c r="J71" i="17"/>
  <c r="D10" i="14" s="1"/>
  <c r="D14" i="14" s="1"/>
  <c r="N66" i="17"/>
  <c r="L70" i="17"/>
  <c r="M70" i="17"/>
  <c r="K70" i="17"/>
  <c r="O37" i="17"/>
  <c r="T19" i="17"/>
  <c r="Y19" i="17"/>
  <c r="U19" i="17"/>
  <c r="Z19" i="17"/>
  <c r="O19" i="17"/>
  <c r="M11" i="17"/>
  <c r="O51" i="17"/>
  <c r="O35" i="17"/>
  <c r="K38" i="17"/>
  <c r="O79" i="17"/>
  <c r="K77" i="17"/>
  <c r="K35" i="17"/>
  <c r="K78" i="17"/>
  <c r="O38" i="17"/>
  <c r="N41" i="17"/>
  <c r="O43" i="17"/>
  <c r="M41" i="17"/>
  <c r="N30" i="17"/>
  <c r="O14" i="17"/>
  <c r="M89" i="17"/>
  <c r="M95" i="17" s="1"/>
  <c r="K101" i="17"/>
  <c r="R20" i="17"/>
  <c r="W20" i="17"/>
  <c r="L20" i="17"/>
  <c r="L16" i="17"/>
  <c r="R19" i="17"/>
  <c r="W19" i="17"/>
  <c r="L19" i="17"/>
  <c r="L37" i="17"/>
  <c r="L51" i="17"/>
  <c r="L54" i="17" l="1"/>
  <c r="P17" i="17"/>
  <c r="J30" i="16"/>
  <c r="L12" i="17"/>
  <c r="L13" i="17"/>
  <c r="J32" i="16"/>
  <c r="J34" i="16"/>
  <c r="O66" i="17"/>
  <c r="L34" i="17"/>
  <c r="M13" i="17"/>
  <c r="M34" i="17"/>
  <c r="M45" i="17" s="1"/>
  <c r="J38" i="16"/>
  <c r="N80" i="17"/>
  <c r="O95" i="17"/>
  <c r="N13" i="17"/>
  <c r="P15" i="17"/>
  <c r="O17" i="17"/>
  <c r="L38" i="17"/>
  <c r="L30" i="17"/>
  <c r="N34" i="17"/>
  <c r="M40" i="17"/>
  <c r="L43" i="17"/>
  <c r="N78" i="17"/>
  <c r="M66" i="17"/>
  <c r="M71" i="17" s="1"/>
  <c r="M77" i="17"/>
  <c r="L79" i="17"/>
  <c r="K94" i="17"/>
  <c r="K16" i="17"/>
  <c r="N33" i="17"/>
  <c r="K79" i="17"/>
  <c r="K42" i="17"/>
  <c r="P22" i="17"/>
  <c r="N79" i="17"/>
  <c r="L44" i="17"/>
  <c r="M51" i="17"/>
  <c r="M54" i="17" s="1"/>
  <c r="K95" i="17"/>
  <c r="N40" i="17"/>
  <c r="I34" i="16"/>
  <c r="L78" i="17"/>
  <c r="K30" i="17"/>
  <c r="K41" i="17"/>
  <c r="O54" i="17"/>
  <c r="M12" i="17"/>
  <c r="M23" i="17" s="1"/>
  <c r="L41" i="17"/>
  <c r="N17" i="17"/>
  <c r="N51" i="17"/>
  <c r="N54" i="17" s="1"/>
  <c r="N45" i="17"/>
  <c r="J44" i="16"/>
  <c r="J135" i="16"/>
  <c r="P89" i="17" s="1"/>
  <c r="P95" i="17" s="1"/>
  <c r="E12" i="14" s="1"/>
  <c r="J100" i="16"/>
  <c r="J108" i="16"/>
  <c r="K51" i="17"/>
  <c r="K54" i="17" s="1"/>
  <c r="P66" i="17"/>
  <c r="N14" i="17"/>
  <c r="I31" i="16"/>
  <c r="O30" i="17"/>
  <c r="M35" i="17"/>
  <c r="N77" i="17"/>
  <c r="N83" i="17" s="1"/>
  <c r="L80" i="17"/>
  <c r="K43" i="17"/>
  <c r="M110" i="17"/>
  <c r="L40" i="17"/>
  <c r="M17" i="17"/>
  <c r="M78" i="17"/>
  <c r="M83" i="17" s="1"/>
  <c r="E31" i="16"/>
  <c r="M79" i="17"/>
  <c r="M16" i="17"/>
  <c r="K37" i="17"/>
  <c r="L77" i="17"/>
  <c r="L83" i="17" s="1"/>
  <c r="L42" i="17"/>
  <c r="O11" i="17"/>
  <c r="O23" i="17" s="1"/>
  <c r="N38" i="17"/>
  <c r="J22" i="16"/>
  <c r="K40" i="17"/>
  <c r="M37" i="17"/>
  <c r="N37" i="17"/>
  <c r="M14" i="17"/>
  <c r="K67" i="17"/>
  <c r="N35" i="17"/>
  <c r="O42" i="17"/>
  <c r="K13" i="17"/>
  <c r="P13" i="17" s="1"/>
  <c r="J9" i="16"/>
  <c r="P51" i="17" s="1"/>
  <c r="P54" i="17" s="1"/>
  <c r="E9" i="14" s="1"/>
  <c r="M80" i="17"/>
  <c r="P20" i="17"/>
  <c r="O70" i="17"/>
  <c r="N11" i="17"/>
  <c r="N12" i="17"/>
  <c r="N16" i="17"/>
  <c r="M69" i="17"/>
  <c r="K69" i="17"/>
  <c r="P19" i="17"/>
  <c r="L14" i="17"/>
  <c r="P14" i="17" s="1"/>
  <c r="P69" i="17"/>
  <c r="O69" i="17"/>
  <c r="K68" i="17"/>
  <c r="L11" i="17"/>
  <c r="K11" i="17"/>
  <c r="O67" i="17"/>
  <c r="K12" i="17"/>
  <c r="O83" i="17"/>
  <c r="L69" i="17"/>
  <c r="L71" i="17" s="1"/>
  <c r="K45" i="17"/>
  <c r="K110" i="17"/>
  <c r="P109" i="17"/>
  <c r="P110" i="17" s="1"/>
  <c r="E13" i="14" s="1"/>
  <c r="P67" i="17"/>
  <c r="N71" i="17"/>
  <c r="P68" i="17"/>
  <c r="J111" i="16"/>
  <c r="K80" i="17"/>
  <c r="K83" i="17" s="1"/>
  <c r="P79" i="17"/>
  <c r="K71" i="17" l="1"/>
  <c r="O45" i="17"/>
  <c r="P12" i="17"/>
  <c r="P11" i="17"/>
  <c r="P23" i="17" s="1"/>
  <c r="E7" i="14" s="1"/>
  <c r="P80" i="17"/>
  <c r="P78" i="17"/>
  <c r="P38" i="17"/>
  <c r="P34" i="17"/>
  <c r="P77" i="17"/>
  <c r="P40" i="17"/>
  <c r="P35" i="17"/>
  <c r="L45" i="17"/>
  <c r="P16" i="17"/>
  <c r="J31" i="16"/>
  <c r="O71" i="17"/>
  <c r="P41" i="17"/>
  <c r="P43" i="17"/>
  <c r="P42" i="17"/>
  <c r="P30" i="17"/>
  <c r="P45" i="17" s="1"/>
  <c r="E8" i="14" s="1"/>
  <c r="P33" i="17"/>
  <c r="P44" i="17"/>
  <c r="P37" i="17"/>
  <c r="P71" i="17"/>
  <c r="E10" i="14" s="1"/>
  <c r="P83" i="17"/>
  <c r="E11" i="14" s="1"/>
  <c r="L23" i="17"/>
  <c r="N23" i="17"/>
  <c r="K23" i="17"/>
  <c r="E22" i="14" l="1"/>
  <c r="E14" i="14"/>
  <c r="E21" i="14" s="1"/>
</calcChain>
</file>

<file path=xl/sharedStrings.xml><?xml version="1.0" encoding="utf-8"?>
<sst xmlns="http://schemas.openxmlformats.org/spreadsheetml/2006/main" count="572" uniqueCount="315">
  <si>
    <t>Commercialized products</t>
  </si>
  <si>
    <t xml:space="preserve">Publications
</t>
  </si>
  <si>
    <t>Total Mark for Section E</t>
  </si>
  <si>
    <t xml:space="preserve">Research grants for academic staff 
</t>
  </si>
  <si>
    <t>-</t>
  </si>
  <si>
    <t>Unit Data</t>
  </si>
  <si>
    <t>% of staff</t>
  </si>
  <si>
    <t>RM/staff</t>
  </si>
  <si>
    <t>No.</t>
  </si>
  <si>
    <t>No</t>
  </si>
  <si>
    <t>Kriteria</t>
  </si>
  <si>
    <t>KPI</t>
  </si>
  <si>
    <t>Weightage</t>
  </si>
  <si>
    <t>Critical Mass</t>
  </si>
  <si>
    <t>Total Mark for Section B</t>
  </si>
  <si>
    <t>Total Mark for Section D</t>
  </si>
  <si>
    <t xml:space="preserve">b. National Grants </t>
  </si>
  <si>
    <t xml:space="preserve">a. University Funded </t>
  </si>
  <si>
    <t>%</t>
  </si>
  <si>
    <t>Total Mark for Section C</t>
  </si>
  <si>
    <t>d. International Grants</t>
  </si>
  <si>
    <t xml:space="preserve">Benchmark </t>
  </si>
  <si>
    <t xml:space="preserve">% </t>
  </si>
  <si>
    <t>Post-doctoral appointments</t>
  </si>
  <si>
    <t>Sub-Weightage</t>
  </si>
  <si>
    <t>PhD or Professional Qualification</t>
  </si>
  <si>
    <t>Percent of academic staff involved as principal investigator of research grants</t>
  </si>
  <si>
    <t>c. Industry Grants</t>
  </si>
  <si>
    <t>Sub-sub weightage</t>
  </si>
  <si>
    <t>Awards/stewardship conferred by national and international learned and professional bodies towards research excellence</t>
  </si>
  <si>
    <t>Gifts (money, equipments, research materials, etc.)  worth ≥ RM 3,000.00 each</t>
  </si>
  <si>
    <t>a. Publication Impact</t>
  </si>
  <si>
    <t>Benchmark Scores</t>
  </si>
  <si>
    <t>Total number of staff in each age group:</t>
  </si>
  <si>
    <t>SECTION</t>
  </si>
  <si>
    <t>CRITERIA</t>
  </si>
  <si>
    <t>FULL MARK SCORE</t>
  </si>
  <si>
    <t>ACTUAL SCORE</t>
  </si>
  <si>
    <t>REMARK</t>
  </si>
  <si>
    <t>B</t>
  </si>
  <si>
    <t>C</t>
  </si>
  <si>
    <t>D</t>
  </si>
  <si>
    <t>E</t>
  </si>
  <si>
    <t>TOTAL</t>
  </si>
  <si>
    <t>Quantity and Quality of Researchers</t>
  </si>
  <si>
    <t xml:space="preserve">Quantity and Quality of Research </t>
  </si>
  <si>
    <t xml:space="preserve">Quantity and Quality of Postgraduates </t>
  </si>
  <si>
    <t xml:space="preserve">Innovation </t>
  </si>
  <si>
    <t xml:space="preserve">Professional Services and Gifts </t>
  </si>
  <si>
    <t xml:space="preserve">Networking and Lingkages </t>
  </si>
  <si>
    <t>F</t>
  </si>
  <si>
    <t>G</t>
  </si>
  <si>
    <t>CAPPED AT 200% EXCEPT RESEARCH EXPERIENCE / INPUT</t>
  </si>
  <si>
    <t>CAPPED AT 200% / OUTPUT</t>
  </si>
  <si>
    <t>CAPPED AT 200% EXCEPT POST- DOCS APPOINTMENT / INPUT &amp; OUTPUT</t>
  </si>
  <si>
    <t>CAPPED AT 200% EXCEPT PATENT FILED/ OUTPUT</t>
  </si>
  <si>
    <t>CAPPED AT 100% / OUTPUT</t>
  </si>
  <si>
    <t>CAPPED AT 100% / INPUT</t>
  </si>
  <si>
    <t>HICoE RESEARCH AND INNOVATION THRUST</t>
  </si>
  <si>
    <t>Sub-Criteria</t>
  </si>
  <si>
    <t>Description</t>
  </si>
  <si>
    <t>Sub-weightage</t>
  </si>
  <si>
    <t>Benchmark</t>
  </si>
  <si>
    <t>Benchmark Score</t>
  </si>
  <si>
    <t>Training / Intellectual Discourse</t>
  </si>
  <si>
    <t xml:space="preserve">Physical Resources </t>
  </si>
  <si>
    <t xml:space="preserve">Quality </t>
  </si>
  <si>
    <t>OR</t>
  </si>
  <si>
    <t>H</t>
  </si>
  <si>
    <t xml:space="preserve">   (i) National patents</t>
  </si>
  <si>
    <t xml:space="preserve">   (ii) International patents</t>
  </si>
  <si>
    <t xml:space="preserve">    (i) National</t>
  </si>
  <si>
    <t xml:space="preserve">    (ii) International</t>
  </si>
  <si>
    <t>a. Accreditation of core services</t>
  </si>
  <si>
    <t xml:space="preserve">b. Certification QMS </t>
  </si>
  <si>
    <t>Total Marks for Section F</t>
  </si>
  <si>
    <t>Total Marks for Section G</t>
  </si>
  <si>
    <t>Total Marks for Section H</t>
  </si>
  <si>
    <t>Resources</t>
  </si>
  <si>
    <t>SECTION A : GENERAL INFORMATION</t>
  </si>
  <si>
    <t>AVERAGE</t>
  </si>
  <si>
    <t xml:space="preserve">    (i) Professor</t>
  </si>
  <si>
    <t xml:space="preserve">    (ii) Associate Professor</t>
  </si>
  <si>
    <t xml:space="preserve">    (iii) Senior Lecturer</t>
  </si>
  <si>
    <t xml:space="preserve">    (iv) Lecturer</t>
  </si>
  <si>
    <t xml:space="preserve">    ● PhD</t>
  </si>
  <si>
    <t xml:space="preserve">    ● Postgraduates by Research</t>
  </si>
  <si>
    <t xml:space="preserve">    ● Postgraduates (Foreign)</t>
  </si>
  <si>
    <t xml:space="preserve">    ● Master (Local)</t>
  </si>
  <si>
    <t xml:space="preserve">    ● Master (Foreign)</t>
  </si>
  <si>
    <t xml:space="preserve">   (i) Master - Research (Local)</t>
  </si>
  <si>
    <t xml:space="preserve">   (ii) Master - Research (Foreign)</t>
  </si>
  <si>
    <t xml:space="preserve">   (iii) Master - Coursework (Local)</t>
  </si>
  <si>
    <t xml:space="preserve">   (iv) Master - Coursework (Foreign)</t>
  </si>
  <si>
    <t xml:space="preserve">   (v) PhD (Local)</t>
  </si>
  <si>
    <t xml:space="preserve">   (vi) PhD (Foreign)</t>
  </si>
  <si>
    <t xml:space="preserve">   (vii) Doctoral Level Coursework (Local)</t>
  </si>
  <si>
    <t>CoE DATA</t>
  </si>
  <si>
    <t xml:space="preserve">  (i) Cumulative citations of publications</t>
  </si>
  <si>
    <t>(i) Cumulative citations of publications</t>
  </si>
  <si>
    <t>(ii) Percentage of journal in Q1 and Q2</t>
  </si>
  <si>
    <t xml:space="preserve">   i) Support Staff</t>
  </si>
  <si>
    <t xml:space="preserve">   ii) RO/RA</t>
  </si>
  <si>
    <t xml:space="preserve">       Full Time</t>
  </si>
  <si>
    <t xml:space="preserve">       Part Time</t>
  </si>
  <si>
    <t xml:space="preserve">Number of Post-doctoral fellows active in the year 
</t>
  </si>
  <si>
    <t>Number of PhDs graduated</t>
  </si>
  <si>
    <t>staff</t>
  </si>
  <si>
    <t>NAME OF UNIVERSITY</t>
  </si>
  <si>
    <t>CONTACT DETAILS</t>
  </si>
  <si>
    <t>NAME OF CENTRE OF EXCELLENCE (CoE)</t>
  </si>
  <si>
    <t>NAME OF HEAD</t>
  </si>
  <si>
    <t>DESIGNATION</t>
  </si>
  <si>
    <t>ADDRESS</t>
  </si>
  <si>
    <t>TELEPHONE NO.</t>
  </si>
  <si>
    <t>FAX NO.</t>
  </si>
  <si>
    <t>EMAIL</t>
  </si>
  <si>
    <t>INITIATED AT THE REQUEST OF</t>
  </si>
  <si>
    <t>Cabinet</t>
  </si>
  <si>
    <t>[Kindly ( / ) at appropriate box]</t>
  </si>
  <si>
    <t>MOHE</t>
  </si>
  <si>
    <t>University-Senate</t>
  </si>
  <si>
    <t>University-Vice Chancelor</t>
  </si>
  <si>
    <t>Faculty / School</t>
  </si>
  <si>
    <t>External Agency (Malaysia)</t>
  </si>
  <si>
    <t>External Agency (International)</t>
  </si>
  <si>
    <t>Research Cluster</t>
  </si>
  <si>
    <t>Centre</t>
  </si>
  <si>
    <t>Unit</t>
  </si>
  <si>
    <t xml:space="preserve">Others (Please Specify) </t>
  </si>
  <si>
    <t>APPROVING BODY</t>
  </si>
  <si>
    <t>University Board (LPU)</t>
  </si>
  <si>
    <t>University Senate</t>
  </si>
  <si>
    <t>Others (Please Specify)</t>
  </si>
  <si>
    <r>
      <t xml:space="preserve">** If CoE has not been approved by University Senate or LPU, kindly </t>
    </r>
    <r>
      <rPr>
        <b/>
        <u/>
        <sz val="14"/>
        <color indexed="8"/>
        <rFont val="Arial"/>
        <family val="2"/>
      </rPr>
      <t>do NOT</t>
    </r>
    <r>
      <rPr>
        <b/>
        <sz val="14"/>
        <color indexed="8"/>
        <rFont val="Arial"/>
        <family val="2"/>
      </rPr>
      <t xml:space="preserve"> </t>
    </r>
  </si>
  <si>
    <t xml:space="preserve">    proceed to fill the form as it will not be processed.</t>
  </si>
  <si>
    <t>DATE OF APPROVAL (dd/mm/yyyy)</t>
  </si>
  <si>
    <t>A</t>
  </si>
  <si>
    <r>
      <t xml:space="preserve">   Name of CoE              :   _________________________________________ 
   </t>
    </r>
    <r>
      <rPr>
        <i/>
        <sz val="11"/>
        <color indexed="8"/>
        <rFont val="Arial Narrow"/>
        <family val="2"/>
      </rPr>
      <t xml:space="preserve">Nama CoE  </t>
    </r>
    <r>
      <rPr>
        <sz val="13"/>
        <color indexed="8"/>
        <rFont val="Arial Narrow"/>
        <family val="2"/>
      </rPr>
      <t xml:space="preserve">           </t>
    </r>
  </si>
  <si>
    <r>
      <t xml:space="preserve">   Thrust                         :   </t>
    </r>
    <r>
      <rPr>
        <u/>
        <sz val="13"/>
        <color indexed="8"/>
        <rFont val="Arial Narrow"/>
        <family val="2"/>
      </rPr>
      <t>Research and Innovation</t>
    </r>
    <r>
      <rPr>
        <sz val="13"/>
        <color indexed="8"/>
        <rFont val="Arial Narrow"/>
        <family val="2"/>
      </rPr>
      <t xml:space="preserve">
   </t>
    </r>
    <r>
      <rPr>
        <i/>
        <sz val="11"/>
        <color indexed="8"/>
        <rFont val="Arial Narrow"/>
        <family val="2"/>
      </rPr>
      <t>Teras</t>
    </r>
    <r>
      <rPr>
        <sz val="13"/>
        <color indexed="8"/>
        <rFont val="Arial Narrow"/>
        <family val="2"/>
      </rPr>
      <t xml:space="preserve">             </t>
    </r>
  </si>
  <si>
    <r>
      <t xml:space="preserve">   Name of Niche Area   :   _________________________________________ 
   </t>
    </r>
    <r>
      <rPr>
        <i/>
        <sz val="11"/>
        <color indexed="8"/>
        <rFont val="Arial Narrow"/>
        <family val="2"/>
      </rPr>
      <t>Nama Bidang Nic</t>
    </r>
    <r>
      <rPr>
        <sz val="13"/>
        <color indexed="8"/>
        <rFont val="Arial Narrow"/>
        <family val="2"/>
      </rPr>
      <t xml:space="preserve">        </t>
    </r>
  </si>
  <si>
    <r>
      <rPr>
        <b/>
        <sz val="13"/>
        <color indexed="8"/>
        <rFont val="Arial Narrow"/>
        <family val="2"/>
      </rPr>
      <t xml:space="preserve">    COMMENTS BY DIRECTOR OF RESEARCH MANAGEMENT CENTER (RMC), if any</t>
    </r>
    <r>
      <rPr>
        <sz val="13"/>
        <color indexed="8"/>
        <rFont val="Arial Narrow"/>
        <family val="2"/>
      </rPr>
      <t xml:space="preserve">
    </t>
    </r>
    <r>
      <rPr>
        <i/>
        <sz val="11"/>
        <color indexed="8"/>
        <rFont val="Arial Narrow"/>
        <family val="2"/>
      </rPr>
      <t>(Komen/ Ulasan oleh Pengarah Pusat Pengurusan Penyelidikan, sekiranya ada)</t>
    </r>
  </si>
  <si>
    <r>
      <rPr>
        <b/>
        <sz val="13"/>
        <color indexed="8"/>
        <rFont val="Arial Narrow"/>
        <family val="2"/>
      </rPr>
      <t xml:space="preserve">   Date: </t>
    </r>
    <r>
      <rPr>
        <sz val="13"/>
        <color indexed="8"/>
        <rFont val="Arial Narrow"/>
        <family val="2"/>
      </rPr>
      <t xml:space="preserve">                                                                                           </t>
    </r>
    <r>
      <rPr>
        <b/>
        <sz val="13"/>
        <color indexed="8"/>
        <rFont val="Arial Narrow"/>
        <family val="2"/>
      </rPr>
      <t xml:space="preserve">  Signature:</t>
    </r>
    <r>
      <rPr>
        <sz val="13"/>
        <color indexed="8"/>
        <rFont val="Arial Narrow"/>
        <family val="2"/>
      </rPr>
      <t xml:space="preserve">
   </t>
    </r>
    <r>
      <rPr>
        <i/>
        <sz val="11"/>
        <color indexed="8"/>
        <rFont val="Arial Narrow"/>
        <family val="2"/>
      </rPr>
      <t>Tarikh:</t>
    </r>
    <r>
      <rPr>
        <sz val="13"/>
        <color indexed="8"/>
        <rFont val="Arial Narrow"/>
        <family val="2"/>
      </rPr>
      <t xml:space="preserve">                                                                                           </t>
    </r>
    <r>
      <rPr>
        <i/>
        <sz val="11"/>
        <color indexed="8"/>
        <rFont val="Arial Narrow"/>
        <family val="2"/>
      </rPr>
      <t xml:space="preserve"> Tandatangan:       </t>
    </r>
    <r>
      <rPr>
        <sz val="13"/>
        <color indexed="8"/>
        <rFont val="Arial Narrow"/>
        <family val="2"/>
      </rPr>
      <t xml:space="preserve">                                                                        
</t>
    </r>
  </si>
  <si>
    <r>
      <rPr>
        <b/>
        <sz val="13"/>
        <color indexed="8"/>
        <rFont val="Arial Narrow"/>
        <family val="2"/>
      </rPr>
      <t xml:space="preserve">    ENDORSEMENT BY DEPUTY VICE CHANCELLOR (RESEARCH AND INNOVATION)</t>
    </r>
    <r>
      <rPr>
        <sz val="13"/>
        <color indexed="8"/>
        <rFont val="Arial Narrow"/>
        <family val="2"/>
      </rPr>
      <t xml:space="preserve">
    </t>
    </r>
    <r>
      <rPr>
        <i/>
        <sz val="11"/>
        <color indexed="8"/>
        <rFont val="Arial Narrow"/>
        <family val="2"/>
      </rPr>
      <t>[Pengesahan oleh Timbalan Naib Canselor (Penyelidikan &amp; Inovasi)]</t>
    </r>
  </si>
  <si>
    <t xml:space="preserve">
C</t>
  </si>
  <si>
    <r>
      <t xml:space="preserve">   Name:                                                                                           Signature:
   </t>
    </r>
    <r>
      <rPr>
        <i/>
        <sz val="11"/>
        <color indexed="8"/>
        <rFont val="Arial Narrow"/>
        <family val="2"/>
      </rPr>
      <t xml:space="preserve">Nama: </t>
    </r>
    <r>
      <rPr>
        <sz val="13"/>
        <color indexed="8"/>
        <rFont val="Arial Narrow"/>
        <family val="2"/>
      </rPr>
      <t xml:space="preserve">                                                                                          </t>
    </r>
    <r>
      <rPr>
        <i/>
        <sz val="11"/>
        <color indexed="8"/>
        <rFont val="Arial Narrow"/>
        <family val="2"/>
      </rPr>
      <t xml:space="preserve"> Tandatangan:       </t>
    </r>
    <r>
      <rPr>
        <sz val="13"/>
        <color indexed="8"/>
        <rFont val="Arial Narrow"/>
        <family val="2"/>
      </rPr>
      <t xml:space="preserve">                                                                        
   Date:                                                                                              Offical Stamp:
   </t>
    </r>
    <r>
      <rPr>
        <i/>
        <sz val="11"/>
        <color indexed="8"/>
        <rFont val="Arial Narrow"/>
        <family val="2"/>
      </rPr>
      <t>Tarikh:</t>
    </r>
    <r>
      <rPr>
        <sz val="13"/>
        <color indexed="8"/>
        <rFont val="Arial Narrow"/>
        <family val="2"/>
      </rPr>
      <t xml:space="preserve">                                                                                      </t>
    </r>
    <r>
      <rPr>
        <i/>
        <sz val="11"/>
        <color indexed="8"/>
        <rFont val="Arial Narrow"/>
        <family val="2"/>
      </rPr>
      <t xml:space="preserve">        Cop Rasmi:</t>
    </r>
    <r>
      <rPr>
        <sz val="13"/>
        <color indexed="8"/>
        <rFont val="Arial Narrow"/>
        <family val="2"/>
      </rPr>
      <t xml:space="preserve">
</t>
    </r>
  </si>
  <si>
    <t>HICoE RESEARCH &amp; INNOVATION THRUST</t>
  </si>
  <si>
    <t>SECTION E - INNOVATION (15 MARKS)
(CAPPED AT 200% EXCEPT PATENT FILED/ OUTPUT )</t>
  </si>
  <si>
    <t>SECTION F - PROFESSIONAL SERVICES AND GIFTS (10 MARKS)
(CAPPED AT 200% / OUTPUT)</t>
  </si>
  <si>
    <t>INSTRUMENT SUMMARY OF CoE</t>
  </si>
  <si>
    <t>SECTION B - QUANTITY AND QUALITY OF RESEARCHERS (15 MARKS)
(CAPPED AT 200% EXCEPT RESEARCH EXPERIENCE / INPUT )</t>
  </si>
  <si>
    <t>SECTION C - QUANTITY AND QUALITY OF RESEARCH (35 MARKS)
(CAPPED AT 200% / OUTPUT)</t>
  </si>
  <si>
    <t>SECTION D - QUANTITY AND QUALITY OF POSTGRADUATES (10 MARKS)
(CAPPED AT 200% EXCEPT POST- DOCS APPOINTMENT / INPUT &amp; OUTPUT )</t>
  </si>
  <si>
    <t>SECTION H - RESOURCES (3 MARKS)
(CAPPED AT 100% / INPUT)</t>
  </si>
  <si>
    <t>SECTION G : NETWORKING AND LINKAGES (12 MARKS)
(CAPPED AT 100% / OUTPUT)</t>
  </si>
  <si>
    <t>SUMMARY MARK OF CoE</t>
  </si>
  <si>
    <r>
      <t>Passing Marks</t>
    </r>
    <r>
      <rPr>
        <b/>
        <sz val="16"/>
        <color indexed="8"/>
        <rFont val="Arial"/>
        <family val="2"/>
      </rPr>
      <t xml:space="preserve"> :</t>
    </r>
  </si>
  <si>
    <t>1. Need to score minimum of 80 marks from overall total marks; AND</t>
  </si>
  <si>
    <t>No./CoE/Year</t>
  </si>
  <si>
    <t>No of Journal Papers Published in Q1 &amp; Q2</t>
  </si>
  <si>
    <t>2. Need to score minimum of 48 marks from total summation of Section B, C and D.</t>
  </si>
  <si>
    <t>General Information</t>
  </si>
  <si>
    <t>Overall</t>
  </si>
  <si>
    <t>Section B, C &amp; D</t>
  </si>
  <si>
    <t>No. per CoE/ year</t>
  </si>
  <si>
    <t>Mark Obtained</t>
  </si>
  <si>
    <t>No./staff</t>
  </si>
  <si>
    <t>S&amp;T : 6
SS : 4</t>
  </si>
  <si>
    <t>cumulative citations per staff / year</t>
  </si>
  <si>
    <t>d. Customer satisfaction</t>
  </si>
  <si>
    <t>SS benchmark :</t>
  </si>
  <si>
    <t>SS score:</t>
  </si>
  <si>
    <t>Percent of academic staff (assocate members) involved as principal investigator of research grants</t>
  </si>
  <si>
    <t>a. ≥ 46 years old</t>
  </si>
  <si>
    <t>Number of local and foreign postgraduate students</t>
  </si>
  <si>
    <t xml:space="preserve">(ii) National Grants </t>
  </si>
  <si>
    <t>(iii) Industry Grants</t>
  </si>
  <si>
    <t xml:space="preserve">    (i) Number of research books</t>
  </si>
  <si>
    <t>(i) Number of research books</t>
  </si>
  <si>
    <t>(ii) Number of chapters in research books</t>
  </si>
  <si>
    <t>j. Number of active foreign academic staff</t>
  </si>
  <si>
    <t xml:space="preserve">a. Number of PhD graduated
</t>
  </si>
  <si>
    <t xml:space="preserve">PhDs graduated </t>
  </si>
  <si>
    <t>Academic staff (permanent/contract)</t>
  </si>
  <si>
    <t xml:space="preserve">a. Number of staff with PhD/DSc, D.Eng. </t>
  </si>
  <si>
    <t>Number of new products licensed for commercialization in the year</t>
  </si>
  <si>
    <t xml:space="preserve">Other IPR </t>
  </si>
  <si>
    <t>a. Number of staff with PhD/DSc, D.Eng.</t>
  </si>
  <si>
    <t>a. Number of awards and recognitions conferred by international academic and professional bodies for research excellence</t>
  </si>
  <si>
    <t>b. Number of awards and recognitions conferred by national academic and professional bodies for research excellence</t>
  </si>
  <si>
    <t>Ratio of PhDs graduated to academic staff</t>
  </si>
  <si>
    <t xml:space="preserve">c. Calibration of equipment / compliance to specification </t>
  </si>
  <si>
    <t xml:space="preserve">Others IPR </t>
  </si>
  <si>
    <t>cumulatif ciatation</t>
  </si>
  <si>
    <t>Indexed Journals</t>
  </si>
  <si>
    <t>ST Score</t>
  </si>
  <si>
    <t>ST benchmark :</t>
  </si>
  <si>
    <t>No. /Year</t>
  </si>
  <si>
    <t>CM FT</t>
  </si>
  <si>
    <t>PhD or PQ</t>
  </si>
  <si>
    <t>total FTE</t>
  </si>
  <si>
    <t>Fulltime post-graduate students enrolled (including local &amp; international)</t>
  </si>
  <si>
    <t xml:space="preserve">(i) University Funded </t>
  </si>
  <si>
    <t>(iv) International Grants</t>
  </si>
  <si>
    <t>Research Experience 
(2 cohorts)</t>
  </si>
  <si>
    <t>d. Total number of Research books and Chapter</t>
  </si>
  <si>
    <t>Number of other IPR / copyrights / trademarks / industry design (other than patents, excluding books declared in Section C)</t>
  </si>
  <si>
    <t xml:space="preserve"> (ii) Total number of journal in Q1 and Q2</t>
  </si>
  <si>
    <t>RM20,000 per S&amp;T staff PLUS
RM12,000 per SS staff</t>
  </si>
  <si>
    <t>RM20,000 per S&amp;T and SS staff</t>
  </si>
  <si>
    <t>Percentage of PhD graduated within          7 semesters/42 months</t>
  </si>
  <si>
    <t xml:space="preserve">    ______________________________________________________________________________________</t>
  </si>
  <si>
    <t>f. Number of active S&amp;T academic staff 
   (Full Member)</t>
  </si>
  <si>
    <t>g. Number of active S&amp;T academic staff 
   (Associate Member)</t>
  </si>
  <si>
    <t xml:space="preserve">   (viii) Doctoral Level Coursework  
   (Foreign)</t>
  </si>
  <si>
    <t>a. Number of PhD (research mode) 
    graduated in the year</t>
  </si>
  <si>
    <t>b. Number of Master (research mode) 
    graduated in the year</t>
  </si>
  <si>
    <t>c. Number of publications in MyCite 
    indexed journals</t>
  </si>
  <si>
    <t xml:space="preserve">    (ii) Number of chapters in research  
    books</t>
  </si>
  <si>
    <t>b. Number of PhD graduated within 
    7 semesters / 42 months</t>
  </si>
  <si>
    <t>c. (i) Number of equipment calibrated / 
   compliance to specification</t>
  </si>
  <si>
    <t xml:space="preserve">    (ii) Number of equipment declared in 
    core services</t>
  </si>
  <si>
    <t>a. Total number of  full member 
    academic staff (excluding staff on 
    study leave)</t>
  </si>
  <si>
    <t>b. Total number of academic staff for 
    associate member (excluding staff 
    on study leave)</t>
  </si>
  <si>
    <t xml:space="preserve">d. Total number of active S&amp;T  
    academic staff </t>
  </si>
  <si>
    <t>b. Total number of academic staff 
    (assocate members) involved as 
    principal investigator of research 
    grants</t>
  </si>
  <si>
    <t>c. Number of publications in MyCite indexed journals</t>
  </si>
  <si>
    <t>c. Total number of support staff 
   (Permanent/ Contract) including RO 
   and RA but excluding 
   postgraduates</t>
  </si>
  <si>
    <t>Postgraduates Graduated</t>
  </si>
  <si>
    <t>a. Total number of academic staff 
    (full time members) involved as 
    principal investigator of research 
    grants</t>
  </si>
  <si>
    <t xml:space="preserve">b. Number of staff with Professional 
    Qualifications (e.g : doctors, 
    engineers, professional technologist, 
    architects, accountants etc) </t>
  </si>
  <si>
    <t>a. Number of awards and recognitions 
    conferred by international academic 
    and professional bodies for research 
    excellence</t>
  </si>
  <si>
    <t>b. Number of awards and recognitions 
   conferred by national academic and 
   professional bodies for research 
   excellence</t>
  </si>
  <si>
    <t>a. Number of consultancies or Contract 
    Research</t>
  </si>
  <si>
    <t>Total amount of funding given by university for infrastructure (RM)</t>
  </si>
  <si>
    <t>Funding given by university for infrastructure (RM)</t>
  </si>
  <si>
    <t>b. Total amount of Industrial/Private/NGO Funds (including contract research)</t>
  </si>
  <si>
    <t>c. Total amount of research funds from International Bodies/Agencies/NGOs</t>
  </si>
  <si>
    <t>* NICHE AREA RESEARCH</t>
  </si>
  <si>
    <t xml:space="preserve">NICHE AREA FOCUSED </t>
  </si>
  <si>
    <t>S&amp;T : 300
SS : 150</t>
  </si>
  <si>
    <t>RM30,000 per S&amp;T staff PLUS
RM12,000 per SS staff</t>
  </si>
  <si>
    <t>d. Total amount of research funds from 
   International Bodies / Agencies / 
   NGOs</t>
  </si>
  <si>
    <t>e. Total amount of grant spent</t>
  </si>
  <si>
    <t>a. Total amount of University research Fund</t>
  </si>
  <si>
    <t xml:space="preserve">b. Total amount of National research fund </t>
  </si>
  <si>
    <t>f. Number of other publications such as publication in non-indexed others journal, articles in magazines, newsletters, original writings and publications from conferences, digital or print media</t>
  </si>
  <si>
    <t xml:space="preserve">a. Total number of patent/utility innovation 
    granted in the year </t>
  </si>
  <si>
    <t>b. Total number of patent/utility innovation filed in the year</t>
  </si>
  <si>
    <t xml:space="preserve">   (i) National </t>
  </si>
  <si>
    <t xml:space="preserve">   (ii) International</t>
  </si>
  <si>
    <t xml:space="preserve">a. Total number of patent/utility innovation granted in the year </t>
  </si>
  <si>
    <t>a. Total amount of University Research Fund</t>
  </si>
  <si>
    <t>b. Total amount of National Research Fund</t>
  </si>
  <si>
    <t>c. Total amount of Industrial / Private / NGO Funds (including contract research)</t>
  </si>
  <si>
    <t>RM/ CoE /
5 Years</t>
  </si>
  <si>
    <t>No./CoE/
5 Years</t>
  </si>
  <si>
    <t>No./Year</t>
  </si>
  <si>
    <t>No./5 Year</t>
  </si>
  <si>
    <t>No./5 Years</t>
  </si>
  <si>
    <t>b. Total number of publications in  
    SCOPUS/WoS/ERA</t>
  </si>
  <si>
    <t xml:space="preserve">    (i) Number of Indexed Journals</t>
  </si>
  <si>
    <t xml:space="preserve">    (ii) Number of Conference proceedings indexed</t>
  </si>
  <si>
    <t>(i) Number of Indexed Journals</t>
  </si>
  <si>
    <t>(ii) Number of Conference proceedings Indexed</t>
  </si>
  <si>
    <t>RM/5years</t>
  </si>
  <si>
    <t>Gross income generated as a training provider</t>
  </si>
  <si>
    <t>Profesional Services/Knowledge Commercialization</t>
  </si>
  <si>
    <t>Gross income generated from professional services/Knowledge Commercialization</t>
  </si>
  <si>
    <t>b. Gross income generated from consultancies or contract  research</t>
  </si>
  <si>
    <t>Total amount of endowment (RM)</t>
  </si>
  <si>
    <t>Endowment (including professional chairs)</t>
  </si>
  <si>
    <t>Total amount of gifts (RM)</t>
  </si>
  <si>
    <t>b. Total number of publications in SCOPUS/WoS/ERA</t>
  </si>
  <si>
    <t xml:space="preserve">b.  Number of staff with Professional 
    Qualifications (e.g : doctors, 
    engineers, professional technologist, 
    architects, accountants etc)  </t>
  </si>
  <si>
    <t>d. Total number of Research books 
    and Chapter (KIV)</t>
  </si>
  <si>
    <t>c. Total unique number of patents/utility innovations granted</t>
  </si>
  <si>
    <t>d. Total unique number of patent/utility innovation filed</t>
  </si>
  <si>
    <t>Patent/Utility Innovation</t>
  </si>
  <si>
    <t>Technology Know-how Licensing</t>
  </si>
  <si>
    <t>Total number of Technology Know-How Licensed OR Sold Outright</t>
  </si>
  <si>
    <t>Project Consultancy or Contract Research</t>
  </si>
  <si>
    <t>Number of  Shared facilities</t>
  </si>
  <si>
    <t>Stakeholders Linkages
Total number of  business contracts/ agreement</t>
  </si>
  <si>
    <t>Number of co-authorship / co-authored publications</t>
  </si>
  <si>
    <t>Number of Joint ventures (JV) with industry/ Research Institution / other university</t>
  </si>
  <si>
    <t xml:space="preserve">Number of  Staff exchange through attachment programme </t>
  </si>
  <si>
    <t xml:space="preserve">Number of creation of physical facilities from collaborations with the industry/ external parties </t>
  </si>
  <si>
    <t>b.   &lt; 46 years old</t>
  </si>
  <si>
    <t>BAHAGIAN KECEMERLANGAN PENYELIDIKAN IPT
JABATAN PENDIDIKAN TINGGI
ARAS 7, NO. 2, MENARA 2,
JALAN P5/6, PRESINT 5
62200 W.P. PUTRAJAYA</t>
  </si>
  <si>
    <t xml:space="preserve">FOR ANY INQUIRY : </t>
  </si>
  <si>
    <r>
      <t xml:space="preserve">* </t>
    </r>
    <r>
      <rPr>
        <b/>
        <u/>
        <sz val="14"/>
        <color indexed="8"/>
        <rFont val="Arial"/>
        <family val="2"/>
      </rPr>
      <t>NICHE AREA RESEARCH:</t>
    </r>
    <r>
      <rPr>
        <u/>
        <sz val="14"/>
        <color indexed="8"/>
        <rFont val="Arial"/>
        <family val="2"/>
      </rPr>
      <t xml:space="preserve">
</t>
    </r>
    <r>
      <rPr>
        <sz val="14"/>
        <color indexed="8"/>
        <rFont val="Arial"/>
        <family val="2"/>
      </rPr>
      <t xml:space="preserve">  - </t>
    </r>
    <r>
      <rPr>
        <b/>
        <sz val="14"/>
        <color indexed="8"/>
        <rFont val="Arial"/>
        <family val="2"/>
      </rPr>
      <t>Makanan</t>
    </r>
    <r>
      <rPr>
        <sz val="14"/>
        <color indexed="8"/>
        <rFont val="Arial"/>
        <family val="2"/>
      </rPr>
      <t xml:space="preserve"> 
     </t>
    </r>
    <r>
      <rPr>
        <i/>
        <sz val="14"/>
        <color indexed="8"/>
        <rFont val="Arial"/>
        <family val="2"/>
      </rPr>
      <t xml:space="preserve">Food
  - </t>
    </r>
    <r>
      <rPr>
        <b/>
        <sz val="14"/>
        <color indexed="8"/>
        <rFont val="Arial"/>
        <family val="2"/>
      </rPr>
      <t>Tenaga</t>
    </r>
    <r>
      <rPr>
        <i/>
        <sz val="14"/>
        <color indexed="8"/>
        <rFont val="Arial"/>
        <family val="2"/>
      </rPr>
      <t xml:space="preserve">
     Energy
  - </t>
    </r>
    <r>
      <rPr>
        <b/>
        <sz val="14"/>
        <color indexed="8"/>
        <rFont val="Arial"/>
        <family val="2"/>
      </rPr>
      <t>Tanaman</t>
    </r>
    <r>
      <rPr>
        <i/>
        <sz val="14"/>
        <color indexed="8"/>
        <rFont val="Arial"/>
        <family val="2"/>
      </rPr>
      <t xml:space="preserve">
     Plantation
  - </t>
    </r>
    <r>
      <rPr>
        <b/>
        <sz val="14"/>
        <color indexed="8"/>
        <rFont val="Arial"/>
        <family val="2"/>
      </rPr>
      <t>Keselamatan Siber</t>
    </r>
    <r>
      <rPr>
        <sz val="14"/>
        <color indexed="8"/>
        <rFont val="Arial"/>
        <family val="2"/>
      </rPr>
      <t xml:space="preserve">
     </t>
    </r>
    <r>
      <rPr>
        <i/>
        <sz val="14"/>
        <color indexed="8"/>
        <rFont val="Arial"/>
        <family val="2"/>
      </rPr>
      <t xml:space="preserve">Cyber Security
  - </t>
    </r>
    <r>
      <rPr>
        <b/>
        <sz val="14"/>
        <color indexed="8"/>
        <rFont val="Arial"/>
        <family val="2"/>
      </rPr>
      <t>Air</t>
    </r>
    <r>
      <rPr>
        <i/>
        <sz val="14"/>
        <color indexed="8"/>
        <rFont val="Arial"/>
        <family val="2"/>
      </rPr>
      <t xml:space="preserve">
     Water
  - </t>
    </r>
    <r>
      <rPr>
        <b/>
        <sz val="14"/>
        <color indexed="8"/>
        <rFont val="Arial"/>
        <family val="2"/>
      </rPr>
      <t>Biodiversiti</t>
    </r>
    <r>
      <rPr>
        <i/>
        <sz val="14"/>
        <color indexed="8"/>
        <rFont val="Arial"/>
        <family val="2"/>
      </rPr>
      <t xml:space="preserve">
     Biodiversity
  - </t>
    </r>
    <r>
      <rPr>
        <b/>
        <sz val="14"/>
        <color indexed="8"/>
        <rFont val="Arial"/>
        <family val="2"/>
      </rPr>
      <t>Penjagaan Kesihatan dan Perubatan</t>
    </r>
    <r>
      <rPr>
        <i/>
        <sz val="14"/>
        <color indexed="8"/>
        <rFont val="Arial"/>
        <family val="2"/>
      </rPr>
      <t xml:space="preserve">
     Healthcare and Medicine
  - </t>
    </r>
    <r>
      <rPr>
        <b/>
        <sz val="14"/>
        <color indexed="8"/>
        <rFont val="Arial"/>
        <family val="2"/>
      </rPr>
      <t>Persekitaran dan Perubahan Iklim</t>
    </r>
    <r>
      <rPr>
        <i/>
        <sz val="14"/>
        <color indexed="8"/>
        <rFont val="Arial"/>
        <family val="2"/>
      </rPr>
      <t xml:space="preserve">
     Environment and Climate Change
  - </t>
    </r>
    <r>
      <rPr>
        <b/>
        <sz val="14"/>
        <color indexed="8"/>
        <rFont val="Arial"/>
        <family val="2"/>
      </rPr>
      <t>Pengangkutan dan Mobiliti</t>
    </r>
    <r>
      <rPr>
        <i/>
        <sz val="14"/>
        <color indexed="8"/>
        <rFont val="Arial"/>
        <family val="2"/>
      </rPr>
      <t xml:space="preserve">
    Transportation and Mobility
  - </t>
    </r>
    <r>
      <rPr>
        <b/>
        <sz val="14"/>
        <color indexed="8"/>
        <rFont val="Arial"/>
        <family val="2"/>
      </rPr>
      <t>Pendidikan</t>
    </r>
    <r>
      <rPr>
        <i/>
        <sz val="14"/>
        <color indexed="8"/>
        <rFont val="Arial"/>
        <family val="2"/>
      </rPr>
      <t xml:space="preserve">
     Education
  - </t>
    </r>
    <r>
      <rPr>
        <b/>
        <sz val="14"/>
        <color indexed="8"/>
        <rFont val="Arial"/>
        <family val="2"/>
      </rPr>
      <t>Perkhidmatan Perniagaan dan Kewangan</t>
    </r>
    <r>
      <rPr>
        <i/>
        <sz val="14"/>
        <color indexed="8"/>
        <rFont val="Arial"/>
        <family val="2"/>
      </rPr>
      <t xml:space="preserve">
     Business and Financial Services
  - </t>
    </r>
    <r>
      <rPr>
        <b/>
        <sz val="14"/>
        <color indexed="8"/>
        <rFont val="Arial"/>
        <family val="2"/>
      </rPr>
      <t>Budaya dan Industri Kreatif</t>
    </r>
    <r>
      <rPr>
        <i/>
        <sz val="14"/>
        <color indexed="8"/>
        <rFont val="Arial"/>
        <family val="2"/>
      </rPr>
      <t xml:space="preserve">
     Creative Culture and Industry
  - </t>
    </r>
    <r>
      <rPr>
        <b/>
        <sz val="14"/>
        <color indexed="8"/>
        <rFont val="Arial"/>
        <family val="2"/>
      </rPr>
      <t>Teknologi dan Sistem Pintar</t>
    </r>
    <r>
      <rPr>
        <i/>
        <sz val="14"/>
        <color indexed="8"/>
        <rFont val="Arial"/>
        <family val="2"/>
      </rPr>
      <t xml:space="preserve">
     Smart Technology and System
  - </t>
    </r>
    <r>
      <rPr>
        <b/>
        <sz val="14"/>
        <color indexed="8"/>
        <rFont val="Arial"/>
        <family val="2"/>
      </rPr>
      <t>Pengetahuan dan Penemuan Sains Terkehadapan</t>
    </r>
    <r>
      <rPr>
        <i/>
        <sz val="14"/>
        <color indexed="8"/>
        <rFont val="Arial"/>
        <family val="2"/>
      </rPr>
      <t xml:space="preserve">
     Knowledge and Discovery of Frontiers
</t>
    </r>
    <r>
      <rPr>
        <b/>
        <sz val="14"/>
        <color indexed="8"/>
        <rFont val="Arial"/>
        <family val="2"/>
      </rPr>
      <t xml:space="preserve">
Note : Choose only </t>
    </r>
    <r>
      <rPr>
        <b/>
        <u/>
        <sz val="14"/>
        <color indexed="8"/>
        <rFont val="Arial"/>
        <family val="2"/>
      </rPr>
      <t>one (1) niche</t>
    </r>
    <r>
      <rPr>
        <b/>
        <sz val="14"/>
        <color indexed="8"/>
        <rFont val="Arial"/>
        <family val="2"/>
      </rPr>
      <t xml:space="preserve"> for your CoE</t>
    </r>
  </si>
  <si>
    <t>PUAN YOGITHA A/P V. MUNIANDY</t>
  </si>
  <si>
    <t xml:space="preserve">03 - 8870 6958       </t>
  </si>
  <si>
    <t>yogitha@mohe.gov.my</t>
  </si>
  <si>
    <t>wn.amirah@mohe.gov.my</t>
  </si>
  <si>
    <t>b. &lt; 46 years old</t>
  </si>
  <si>
    <t xml:space="preserve">e. Number of case studies/technical reports/standards/policy papers published </t>
  </si>
  <si>
    <r>
      <rPr>
        <b/>
        <sz val="12"/>
        <color indexed="8"/>
        <rFont val="Arial"/>
        <family val="2"/>
      </rPr>
      <t>Stakeholders Linkages</t>
    </r>
    <r>
      <rPr>
        <sz val="12"/>
        <color indexed="8"/>
        <rFont val="Arial"/>
        <family val="2"/>
      </rPr>
      <t xml:space="preserve">
Total number of  business contracts/ agreement</t>
    </r>
  </si>
  <si>
    <t>d. Total unique number of patents/utility innovations filed</t>
  </si>
  <si>
    <r>
      <t xml:space="preserve">APPLICATION AS A HIGHER INSTITUTION CENTRES OF EXCELLENCE (HICoE) 2024
</t>
    </r>
    <r>
      <rPr>
        <b/>
        <i/>
        <sz val="16"/>
        <color indexed="9"/>
        <rFont val="Arial Narrow"/>
        <family val="2"/>
      </rPr>
      <t>Permohonan sebagai Pusat Kecemerlangan Pendidikan Tinggi (HICoE) 2024</t>
    </r>
  </si>
  <si>
    <t>Type of CoE  : 1 = Science and Technology (S&amp;T), 2 = Non - Science and Technology (Non S&amp;T)</t>
  </si>
  <si>
    <t xml:space="preserve">03 - 8870 6957   </t>
  </si>
  <si>
    <t>3)</t>
  </si>
  <si>
    <t>2)</t>
  </si>
  <si>
    <t>1)</t>
  </si>
  <si>
    <t>CIK SITI NOR AUNINAJWA BINTI ZABIDI</t>
  </si>
  <si>
    <t>PUAN WAN NUR AMIRAH BINTI WAN YAHYA</t>
  </si>
  <si>
    <t>03 - 8870 6962</t>
  </si>
  <si>
    <r>
      <t xml:space="preserve">HIGHER INSTITUTION CENTRES OF EXCELLENCE (HICoE)
</t>
    </r>
    <r>
      <rPr>
        <b/>
        <sz val="11"/>
        <color theme="0"/>
        <rFont val="Arial"/>
        <family val="2"/>
      </rPr>
      <t>RESEARCH AND INNOVATION
VERSION 2024</t>
    </r>
  </si>
  <si>
    <t>auninajwa@mohe.gov.my</t>
  </si>
  <si>
    <t>a.  ≥ 46 years old</t>
  </si>
  <si>
    <t>h. Number of active Non S&amp;T academic staff 
    (Full Member)</t>
  </si>
  <si>
    <t>i. Number of active Non S&amp;T academic staff 
   (Associate Member)</t>
  </si>
  <si>
    <t>e. Total number of active Non S&amp;T academic 
   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</si>
</sst>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&quot;RM&quot;#,##0.00_);[Red]\(&quot;RM&quot;#,##0.00\)"/>
    <numFmt numFmtId="166" formatCode="0.0"/>
    <numFmt numFmtId="167" formatCode="#,##0.0"/>
    <numFmt numFmtId="168" formatCode="0.000"/>
    <numFmt numFmtId="169" formatCode="[$-14809]dd/mm/yyyy;@"/>
    <numFmt numFmtId="170" formatCode="&quot;RM&quot;#,##0.00"/>
    <numFmt numFmtId="171" formatCode="[$RM-43E]#,##0.00"/>
    <numFmt numFmtId="172" formatCode="[$RM-4409]#,##0.00"/>
    <numFmt numFmtId="173" formatCode="&quot;RM&quot;#,##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trike/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i/>
      <sz val="11"/>
      <color indexed="8"/>
      <name val="Arial Narrow"/>
      <family val="2"/>
    </font>
    <font>
      <sz val="13"/>
      <color indexed="8"/>
      <name val="Arial Narrow"/>
      <family val="2"/>
    </font>
    <font>
      <u/>
      <sz val="13"/>
      <color indexed="8"/>
      <name val="Arial Narrow"/>
      <family val="2"/>
    </font>
    <font>
      <b/>
      <sz val="13"/>
      <color indexed="8"/>
      <name val="Arial Narrow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u/>
      <sz val="14"/>
      <color indexed="8"/>
      <name val="Arial"/>
      <family val="2"/>
    </font>
    <font>
      <b/>
      <i/>
      <sz val="16"/>
      <color indexed="9"/>
      <name val="Arial Narrow"/>
      <family val="2"/>
    </font>
    <font>
      <u/>
      <sz val="14"/>
      <color indexed="12"/>
      <name val="Arial"/>
      <family val="2"/>
    </font>
    <font>
      <i/>
      <sz val="1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 Narrow"/>
      <family val="2"/>
    </font>
    <font>
      <b/>
      <u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FF00"/>
      <name val="Arial"/>
      <family val="2"/>
    </font>
    <font>
      <sz val="12"/>
      <color rgb="FFFF0000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 Narrow"/>
      <family val="2"/>
    </font>
    <font>
      <b/>
      <sz val="22"/>
      <color theme="1"/>
      <name val="Arial"/>
      <family val="2"/>
    </font>
    <font>
      <u/>
      <sz val="14"/>
      <color indexed="12"/>
      <name val="Calibri"/>
      <family val="2"/>
      <scheme val="minor"/>
    </font>
    <font>
      <b/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169" fontId="2" fillId="0" borderId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82">
    <xf numFmtId="0" fontId="0" fillId="0" borderId="0" xfId="0"/>
    <xf numFmtId="0" fontId="30" fillId="0" borderId="0" xfId="0" applyFont="1"/>
    <xf numFmtId="0" fontId="3" fillId="0" borderId="1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9" fontId="7" fillId="0" borderId="5" xfId="0" quotePrefix="1" applyNumberFormat="1" applyFont="1" applyBorder="1" applyAlignment="1">
      <alignment horizontal="center" vertical="center" wrapText="1"/>
    </xf>
    <xf numFmtId="9" fontId="7" fillId="0" borderId="4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/>
    </xf>
    <xf numFmtId="9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9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9" fontId="7" fillId="0" borderId="1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9" fontId="7" fillId="0" borderId="2" xfId="0" quotePrefix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top" wrapText="1"/>
    </xf>
    <xf numFmtId="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center"/>
    </xf>
    <xf numFmtId="0" fontId="7" fillId="0" borderId="15" xfId="0" applyFont="1" applyBorder="1"/>
    <xf numFmtId="0" fontId="3" fillId="0" borderId="0" xfId="0" applyFont="1" applyAlignment="1">
      <alignment vertical="center" wrapText="1"/>
    </xf>
    <xf numFmtId="1" fontId="3" fillId="4" borderId="16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 wrapText="1"/>
    </xf>
    <xf numFmtId="1" fontId="3" fillId="4" borderId="18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center" wrapText="1"/>
    </xf>
    <xf numFmtId="1" fontId="3" fillId="4" borderId="19" xfId="0" applyNumberFormat="1" applyFont="1" applyFill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1" fontId="3" fillId="4" borderId="21" xfId="0" applyNumberFormat="1" applyFont="1" applyFill="1" applyBorder="1" applyAlignment="1">
      <alignment horizontal="center" vertical="center" wrapText="1"/>
    </xf>
    <xf numFmtId="1" fontId="3" fillId="4" borderId="17" xfId="0" quotePrefix="1" applyNumberFormat="1" applyFont="1" applyFill="1" applyBorder="1" applyAlignment="1">
      <alignment horizontal="center" vertical="center" wrapText="1"/>
    </xf>
    <xf numFmtId="1" fontId="3" fillId="4" borderId="18" xfId="0" quotePrefix="1" applyNumberFormat="1" applyFont="1" applyFill="1" applyBorder="1" applyAlignment="1">
      <alignment horizontal="center" vertical="center" wrapText="1"/>
    </xf>
    <xf numFmtId="1" fontId="3" fillId="4" borderId="20" xfId="0" quotePrefix="1" applyNumberFormat="1" applyFont="1" applyFill="1" applyBorder="1" applyAlignment="1">
      <alignment horizontal="center" vertical="center" wrapText="1"/>
    </xf>
    <xf numFmtId="1" fontId="3" fillId="4" borderId="16" xfId="0" quotePrefix="1" applyNumberFormat="1" applyFont="1" applyFill="1" applyBorder="1" applyAlignment="1">
      <alignment horizontal="center" vertical="center" wrapText="1"/>
    </xf>
    <xf numFmtId="1" fontId="3" fillId="4" borderId="22" xfId="0" applyNumberFormat="1" applyFont="1" applyFill="1" applyBorder="1" applyAlignment="1">
      <alignment horizontal="center" vertical="center" wrapText="1"/>
    </xf>
    <xf numFmtId="1" fontId="3" fillId="4" borderId="23" xfId="0" quotePrefix="1" applyNumberFormat="1" applyFont="1" applyFill="1" applyBorder="1" applyAlignment="1">
      <alignment horizontal="center" vertical="center" wrapText="1"/>
    </xf>
    <xf numFmtId="1" fontId="3" fillId="4" borderId="1" xfId="0" quotePrefix="1" applyNumberFormat="1" applyFont="1" applyFill="1" applyBorder="1" applyAlignment="1">
      <alignment horizontal="center" vertical="center" wrapText="1"/>
    </xf>
    <xf numFmtId="1" fontId="3" fillId="4" borderId="7" xfId="0" quotePrefix="1" applyNumberFormat="1" applyFont="1" applyFill="1" applyBorder="1" applyAlignment="1">
      <alignment horizontal="center" vertical="center" wrapText="1"/>
    </xf>
    <xf numFmtId="1" fontId="3" fillId="4" borderId="11" xfId="0" quotePrefix="1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" fontId="3" fillId="4" borderId="18" xfId="0" applyNumberFormat="1" applyFont="1" applyFill="1" applyBorder="1" applyAlignment="1">
      <alignment horizontal="center" vertical="center"/>
    </xf>
    <xf numFmtId="1" fontId="3" fillId="4" borderId="17" xfId="0" applyNumberFormat="1" applyFont="1" applyFill="1" applyBorder="1" applyAlignment="1">
      <alignment horizontal="center" vertical="center"/>
    </xf>
    <xf numFmtId="9" fontId="7" fillId="0" borderId="26" xfId="7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4" fontId="3" fillId="5" borderId="15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0" fontId="3" fillId="4" borderId="29" xfId="0" applyNumberFormat="1" applyFont="1" applyFill="1" applyBorder="1" applyAlignment="1">
      <alignment horizontal="center" vertical="center"/>
    </xf>
    <xf numFmtId="170" fontId="3" fillId="4" borderId="30" xfId="0" applyNumberFormat="1" applyFont="1" applyFill="1" applyBorder="1" applyAlignment="1">
      <alignment horizontal="center" vertical="center"/>
    </xf>
    <xf numFmtId="170" fontId="3" fillId="4" borderId="31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top" wrapText="1"/>
    </xf>
    <xf numFmtId="1" fontId="3" fillId="4" borderId="33" xfId="0" applyNumberFormat="1" applyFont="1" applyFill="1" applyBorder="1" applyAlignment="1">
      <alignment horizontal="center" vertical="center"/>
    </xf>
    <xf numFmtId="170" fontId="3" fillId="4" borderId="24" xfId="0" quotePrefix="1" applyNumberFormat="1" applyFont="1" applyFill="1" applyBorder="1" applyAlignment="1">
      <alignment horizontal="center" vertical="center" wrapText="1"/>
    </xf>
    <xf numFmtId="170" fontId="3" fillId="4" borderId="31" xfId="0" quotePrefix="1" applyNumberFormat="1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1" fontId="3" fillId="4" borderId="24" xfId="0" applyNumberFormat="1" applyFont="1" applyFill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70" fontId="30" fillId="0" borderId="0" xfId="0" applyNumberFormat="1" applyFont="1" applyAlignment="1">
      <alignment vertical="center"/>
    </xf>
    <xf numFmtId="0" fontId="31" fillId="0" borderId="0" xfId="0" applyFont="1"/>
    <xf numFmtId="0" fontId="31" fillId="0" borderId="36" xfId="0" applyFont="1" applyBorder="1"/>
    <xf numFmtId="0" fontId="31" fillId="3" borderId="9" xfId="0" applyFont="1" applyFill="1" applyBorder="1" applyAlignment="1">
      <alignment horizontal="center" vertical="center"/>
    </xf>
    <xf numFmtId="0" fontId="31" fillId="3" borderId="37" xfId="0" applyFont="1" applyFill="1" applyBorder="1"/>
    <xf numFmtId="0" fontId="31" fillId="3" borderId="38" xfId="0" applyFont="1" applyFill="1" applyBorder="1"/>
    <xf numFmtId="0" fontId="31" fillId="3" borderId="3" xfId="0" applyFont="1" applyFill="1" applyBorder="1" applyAlignment="1">
      <alignment horizontal="center" vertical="center"/>
    </xf>
    <xf numFmtId="0" fontId="31" fillId="3" borderId="0" xfId="0" applyFont="1" applyFill="1" applyAlignment="1">
      <alignment wrapText="1"/>
    </xf>
    <xf numFmtId="0" fontId="31" fillId="3" borderId="36" xfId="0" applyFont="1" applyFill="1" applyBorder="1"/>
    <xf numFmtId="0" fontId="31" fillId="3" borderId="8" xfId="0" applyFont="1" applyFill="1" applyBorder="1" applyAlignment="1">
      <alignment horizontal="center" vertical="center"/>
    </xf>
    <xf numFmtId="0" fontId="31" fillId="3" borderId="39" xfId="0" applyFont="1" applyFill="1" applyBorder="1"/>
    <xf numFmtId="0" fontId="31" fillId="3" borderId="40" xfId="0" applyFont="1" applyFill="1" applyBorder="1"/>
    <xf numFmtId="0" fontId="31" fillId="6" borderId="41" xfId="0" applyFont="1" applyFill="1" applyBorder="1"/>
    <xf numFmtId="0" fontId="31" fillId="3" borderId="0" xfId="0" applyFont="1" applyFill="1"/>
    <xf numFmtId="0" fontId="31" fillId="3" borderId="8" xfId="0" applyFont="1" applyFill="1" applyBorder="1"/>
    <xf numFmtId="0" fontId="31" fillId="3" borderId="39" xfId="0" applyFont="1" applyFill="1" applyBorder="1" applyAlignment="1">
      <alignment wrapText="1"/>
    </xf>
    <xf numFmtId="0" fontId="31" fillId="3" borderId="4" xfId="0" applyFont="1" applyFill="1" applyBorder="1" applyAlignment="1">
      <alignment horizontal="center" vertical="top" wrapText="1"/>
    </xf>
    <xf numFmtId="0" fontId="31" fillId="3" borderId="11" xfId="0" applyFont="1" applyFill="1" applyBorder="1" applyAlignment="1">
      <alignment wrapText="1"/>
    </xf>
    <xf numFmtId="0" fontId="31" fillId="3" borderId="41" xfId="0" applyFont="1" applyFill="1" applyBorder="1"/>
    <xf numFmtId="1" fontId="7" fillId="7" borderId="20" xfId="0" applyNumberFormat="1" applyFont="1" applyFill="1" applyBorder="1" applyAlignment="1">
      <alignment horizontal="center" vertical="center"/>
    </xf>
    <xf numFmtId="1" fontId="7" fillId="7" borderId="34" xfId="0" applyNumberFormat="1" applyFont="1" applyFill="1" applyBorder="1" applyAlignment="1">
      <alignment horizontal="center" vertical="center"/>
    </xf>
    <xf numFmtId="1" fontId="7" fillId="7" borderId="33" xfId="0" applyNumberFormat="1" applyFont="1" applyFill="1" applyBorder="1" applyAlignment="1">
      <alignment horizontal="center" vertical="center"/>
    </xf>
    <xf numFmtId="1" fontId="7" fillId="7" borderId="35" xfId="0" applyNumberFormat="1" applyFont="1" applyFill="1" applyBorder="1" applyAlignment="1">
      <alignment horizontal="center" vertical="center"/>
    </xf>
    <xf numFmtId="1" fontId="7" fillId="7" borderId="16" xfId="0" applyNumberFormat="1" applyFont="1" applyFill="1" applyBorder="1" applyAlignment="1">
      <alignment horizontal="center" vertical="center"/>
    </xf>
    <xf numFmtId="1" fontId="7" fillId="7" borderId="42" xfId="0" applyNumberFormat="1" applyFont="1" applyFill="1" applyBorder="1" applyAlignment="1">
      <alignment horizontal="center" vertical="center"/>
    </xf>
    <xf numFmtId="1" fontId="7" fillId="7" borderId="17" xfId="0" applyNumberFormat="1" applyFont="1" applyFill="1" applyBorder="1" applyAlignment="1">
      <alignment horizontal="center" vertical="center"/>
    </xf>
    <xf numFmtId="1" fontId="3" fillId="4" borderId="20" xfId="0" applyNumberFormat="1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7" borderId="18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1" fontId="7" fillId="7" borderId="19" xfId="0" applyNumberFormat="1" applyFont="1" applyFill="1" applyBorder="1" applyAlignment="1">
      <alignment horizontal="center" vertical="center" wrapText="1"/>
    </xf>
    <xf numFmtId="1" fontId="7" fillId="7" borderId="20" xfId="0" applyNumberFormat="1" applyFont="1" applyFill="1" applyBorder="1" applyAlignment="1">
      <alignment horizontal="center" vertical="center" wrapText="1"/>
    </xf>
    <xf numFmtId="1" fontId="7" fillId="7" borderId="17" xfId="0" applyNumberFormat="1" applyFont="1" applyFill="1" applyBorder="1" applyAlignment="1">
      <alignment horizontal="center" vertical="center" wrapText="1"/>
    </xf>
    <xf numFmtId="170" fontId="11" fillId="7" borderId="16" xfId="0" applyNumberFormat="1" applyFont="1" applyFill="1" applyBorder="1" applyAlignment="1">
      <alignment horizontal="center" vertical="center" wrapText="1"/>
    </xf>
    <xf numFmtId="1" fontId="7" fillId="7" borderId="23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70" fontId="11" fillId="7" borderId="1" xfId="0" applyNumberFormat="1" applyFont="1" applyFill="1" applyBorder="1" applyAlignment="1">
      <alignment horizontal="center" vertical="center" wrapText="1"/>
    </xf>
    <xf numFmtId="3" fontId="7" fillId="7" borderId="1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9" fontId="3" fillId="0" borderId="43" xfId="0" applyNumberFormat="1" applyFont="1" applyBorder="1" applyAlignment="1">
      <alignment horizontal="center" vertical="center" wrapText="1"/>
    </xf>
    <xf numFmtId="9" fontId="3" fillId="0" borderId="3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3" fillId="5" borderId="44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top" wrapText="1"/>
    </xf>
    <xf numFmtId="0" fontId="7" fillId="0" borderId="46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0" fontId="7" fillId="0" borderId="27" xfId="0" applyFont="1" applyBorder="1" applyAlignment="1">
      <alignment vertical="top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1" fontId="3" fillId="4" borderId="19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7" xfId="0" applyNumberFormat="1" applyFont="1" applyFill="1" applyBorder="1" applyAlignment="1">
      <alignment horizontal="center" vertical="center" wrapText="1"/>
    </xf>
    <xf numFmtId="9" fontId="3" fillId="4" borderId="7" xfId="0" applyNumberFormat="1" applyFont="1" applyFill="1" applyBorder="1" applyAlignment="1">
      <alignment horizontal="center" vertical="center" wrapText="1"/>
    </xf>
    <xf numFmtId="2" fontId="7" fillId="4" borderId="49" xfId="0" applyNumberFormat="1" applyFont="1" applyFill="1" applyBorder="1" applyAlignment="1">
      <alignment horizontal="center" vertical="center"/>
    </xf>
    <xf numFmtId="2" fontId="7" fillId="4" borderId="17" xfId="0" applyNumberFormat="1" applyFont="1" applyFill="1" applyBorder="1" applyAlignment="1">
      <alignment horizontal="center" vertical="center" wrapText="1"/>
    </xf>
    <xf numFmtId="171" fontId="7" fillId="7" borderId="49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8" fontId="3" fillId="0" borderId="1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" fontId="7" fillId="0" borderId="11" xfId="7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" fontId="7" fillId="0" borderId="12" xfId="7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" fontId="7" fillId="0" borderId="14" xfId="7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2" fontId="33" fillId="8" borderId="4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2" fontId="7" fillId="4" borderId="23" xfId="0" quotePrefix="1" applyNumberFormat="1" applyFont="1" applyFill="1" applyBorder="1" applyAlignment="1">
      <alignment horizontal="center" vertical="center" wrapText="1"/>
    </xf>
    <xf numFmtId="2" fontId="7" fillId="4" borderId="0" xfId="0" quotePrefix="1" applyNumberFormat="1" applyFont="1" applyFill="1" applyAlignment="1">
      <alignment horizontal="center" vertical="center" wrapText="1"/>
    </xf>
    <xf numFmtId="2" fontId="7" fillId="4" borderId="18" xfId="0" applyNumberFormat="1" applyFont="1" applyFill="1" applyBorder="1" applyAlignment="1">
      <alignment horizontal="center" vertical="center" wrapText="1"/>
    </xf>
    <xf numFmtId="2" fontId="7" fillId="4" borderId="22" xfId="0" applyNumberFormat="1" applyFont="1" applyFill="1" applyBorder="1" applyAlignment="1">
      <alignment horizontal="center" vertical="center" wrapText="1"/>
    </xf>
    <xf numFmtId="0" fontId="3" fillId="4" borderId="17" xfId="0" quotePrefix="1" applyFont="1" applyFill="1" applyBorder="1" applyAlignment="1">
      <alignment horizontal="center" vertical="center" wrapText="1"/>
    </xf>
    <xf numFmtId="0" fontId="3" fillId="4" borderId="21" xfId="0" quotePrefix="1" applyFont="1" applyFill="1" applyBorder="1" applyAlignment="1">
      <alignment horizontal="center" vertical="center" wrapText="1"/>
    </xf>
    <xf numFmtId="2" fontId="3" fillId="9" borderId="18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70" fontId="11" fillId="7" borderId="17" xfId="0" applyNumberFormat="1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>
      <alignment horizontal="center" vertical="center" wrapText="1"/>
    </xf>
    <xf numFmtId="170" fontId="3" fillId="4" borderId="18" xfId="0" quotePrefix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0" fontId="7" fillId="0" borderId="0" xfId="0" applyNumberFormat="1" applyFont="1"/>
    <xf numFmtId="9" fontId="7" fillId="0" borderId="4" xfId="0" applyNumberFormat="1" applyFont="1" applyBorder="1" applyAlignment="1">
      <alignment horizontal="center" vertical="center"/>
    </xf>
    <xf numFmtId="9" fontId="3" fillId="0" borderId="50" xfId="0" applyNumberFormat="1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24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166" fontId="3" fillId="0" borderId="18" xfId="0" applyNumberFormat="1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166" fontId="3" fillId="0" borderId="2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2" fontId="3" fillId="4" borderId="18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21" xfId="0" applyFont="1" applyBorder="1"/>
    <xf numFmtId="0" fontId="7" fillId="0" borderId="2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/>
    </xf>
    <xf numFmtId="9" fontId="3" fillId="0" borderId="25" xfId="0" applyNumberFormat="1" applyFont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0" fontId="3" fillId="0" borderId="0" xfId="0" applyFont="1"/>
    <xf numFmtId="0" fontId="7" fillId="0" borderId="30" xfId="0" applyFont="1" applyBorder="1"/>
    <xf numFmtId="172" fontId="3" fillId="4" borderId="49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9" fontId="7" fillId="0" borderId="11" xfId="7" applyFont="1" applyFill="1" applyBorder="1" applyAlignment="1">
      <alignment horizontal="center" vertical="center" wrapText="1"/>
    </xf>
    <xf numFmtId="9" fontId="7" fillId="0" borderId="42" xfId="7" applyFont="1" applyFill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3" fillId="4" borderId="39" xfId="0" applyNumberFormat="1" applyFont="1" applyFill="1" applyBorder="1" applyAlignment="1">
      <alignment horizontal="center" vertical="center" wrapText="1"/>
    </xf>
    <xf numFmtId="2" fontId="3" fillId="4" borderId="21" xfId="0" applyNumberFormat="1" applyFont="1" applyFill="1" applyBorder="1" applyAlignment="1">
      <alignment horizontal="center" vertical="center" wrapText="1"/>
    </xf>
    <xf numFmtId="0" fontId="7" fillId="0" borderId="22" xfId="7" applyNumberFormat="1" applyFont="1" applyFill="1" applyBorder="1" applyAlignment="1">
      <alignment horizontal="center" vertical="center" wrapText="1"/>
    </xf>
    <xf numFmtId="2" fontId="7" fillId="0" borderId="41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2" xfId="7" applyNumberFormat="1" applyFont="1" applyFill="1" applyBorder="1" applyAlignment="1">
      <alignment horizontal="center" vertical="center" wrapText="1"/>
    </xf>
    <xf numFmtId="9" fontId="3" fillId="0" borderId="28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top" wrapText="1"/>
    </xf>
    <xf numFmtId="3" fontId="7" fillId="0" borderId="39" xfId="0" applyNumberFormat="1" applyFont="1" applyBorder="1" applyAlignment="1">
      <alignment horizontal="center" vertical="center" wrapText="1"/>
    </xf>
    <xf numFmtId="9" fontId="7" fillId="0" borderId="39" xfId="7" applyFont="1" applyFill="1" applyBorder="1" applyAlignment="1">
      <alignment horizontal="center" vertical="center" wrapText="1"/>
    </xf>
    <xf numFmtId="9" fontId="7" fillId="4" borderId="8" xfId="0" quotePrefix="1" applyNumberFormat="1" applyFont="1" applyFill="1" applyBorder="1" applyAlignment="1">
      <alignment horizontal="center" vertical="center" wrapText="1"/>
    </xf>
    <xf numFmtId="9" fontId="7" fillId="4" borderId="52" xfId="0" quotePrefix="1" applyNumberFormat="1" applyFont="1" applyFill="1" applyBorder="1" applyAlignment="1">
      <alignment horizontal="center" vertical="center" wrapText="1"/>
    </xf>
    <xf numFmtId="167" fontId="7" fillId="0" borderId="11" xfId="0" applyNumberFormat="1" applyFont="1" applyBorder="1" applyAlignment="1">
      <alignment horizontal="center" vertical="center" wrapText="1"/>
    </xf>
    <xf numFmtId="9" fontId="7" fillId="0" borderId="9" xfId="0" quotePrefix="1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 wrapText="1"/>
    </xf>
    <xf numFmtId="9" fontId="7" fillId="4" borderId="9" xfId="0" quotePrefix="1" applyNumberFormat="1" applyFont="1" applyFill="1" applyBorder="1" applyAlignment="1">
      <alignment horizontal="center" vertical="center" wrapText="1"/>
    </xf>
    <xf numFmtId="9" fontId="7" fillId="4" borderId="26" xfId="0" quotePrefix="1" applyNumberFormat="1" applyFont="1" applyFill="1" applyBorder="1" applyAlignment="1">
      <alignment horizontal="center" vertical="center" wrapText="1"/>
    </xf>
    <xf numFmtId="167" fontId="7" fillId="0" borderId="22" xfId="0" applyNumberFormat="1" applyFont="1" applyBorder="1" applyAlignment="1">
      <alignment horizontal="center" vertical="center" wrapText="1"/>
    </xf>
    <xf numFmtId="167" fontId="7" fillId="0" borderId="37" xfId="0" applyNumberFormat="1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9" fontId="7" fillId="0" borderId="3" xfId="0" quotePrefix="1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9" fontId="7" fillId="0" borderId="12" xfId="7" applyFont="1" applyFill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3" fillId="0" borderId="0" xfId="0" applyFont="1" applyAlignment="1">
      <alignment horizontal="center" wrapText="1"/>
    </xf>
    <xf numFmtId="0" fontId="7" fillId="0" borderId="25" xfId="0" applyFont="1" applyBorder="1"/>
    <xf numFmtId="0" fontId="7" fillId="0" borderId="3" xfId="0" applyFont="1" applyBorder="1"/>
    <xf numFmtId="0" fontId="7" fillId="0" borderId="46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4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53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7" fillId="0" borderId="22" xfId="0" applyFont="1" applyBorder="1" applyAlignment="1">
      <alignment horizontal="justify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 wrapText="1"/>
    </xf>
    <xf numFmtId="0" fontId="3" fillId="5" borderId="0" xfId="0" applyFont="1" applyFill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top" wrapText="1"/>
    </xf>
    <xf numFmtId="0" fontId="3" fillId="5" borderId="54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3" fillId="5" borderId="4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horizontal="center" vertical="center"/>
    </xf>
    <xf numFmtId="1" fontId="3" fillId="4" borderId="31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vertical="top"/>
    </xf>
    <xf numFmtId="10" fontId="7" fillId="7" borderId="10" xfId="0" applyNumberFormat="1" applyFont="1" applyFill="1" applyBorder="1" applyAlignment="1">
      <alignment horizontal="center" vertical="center"/>
    </xf>
    <xf numFmtId="10" fontId="3" fillId="4" borderId="55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top"/>
    </xf>
    <xf numFmtId="0" fontId="11" fillId="0" borderId="18" xfId="0" applyFont="1" applyBorder="1" applyAlignment="1">
      <alignment vertical="top"/>
    </xf>
    <xf numFmtId="0" fontId="6" fillId="0" borderId="56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9" xfId="0" quotePrefix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0" fontId="30" fillId="5" borderId="27" xfId="0" applyFont="1" applyFill="1" applyBorder="1"/>
    <xf numFmtId="0" fontId="30" fillId="0" borderId="16" xfId="0" applyFont="1" applyBorder="1" applyAlignment="1">
      <alignment horizontal="center" vertical="center"/>
    </xf>
    <xf numFmtId="0" fontId="30" fillId="0" borderId="31" xfId="0" applyFont="1" applyBorder="1" applyAlignment="1">
      <alignment horizontal="left" vertical="center"/>
    </xf>
    <xf numFmtId="0" fontId="30" fillId="0" borderId="42" xfId="0" applyFont="1" applyBorder="1" applyAlignment="1">
      <alignment horizontal="center" vertical="center"/>
    </xf>
    <xf numFmtId="2" fontId="33" fillId="0" borderId="16" xfId="0" applyNumberFormat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166" fontId="3" fillId="0" borderId="23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2" fontId="3" fillId="0" borderId="57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" fontId="7" fillId="7" borderId="27" xfId="0" applyNumberFormat="1" applyFont="1" applyFill="1" applyBorder="1" applyAlignment="1">
      <alignment horizontal="center" vertical="center" wrapText="1"/>
    </xf>
    <xf numFmtId="9" fontId="3" fillId="4" borderId="12" xfId="0" applyNumberFormat="1" applyFont="1" applyFill="1" applyBorder="1" applyAlignment="1">
      <alignment horizontal="center" vertical="center" wrapText="1"/>
    </xf>
    <xf numFmtId="166" fontId="3" fillId="4" borderId="1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0" fontId="7" fillId="0" borderId="27" xfId="0" applyNumberFormat="1" applyFont="1" applyBorder="1" applyAlignment="1">
      <alignment horizontal="center" vertical="center" wrapText="1"/>
    </xf>
    <xf numFmtId="170" fontId="7" fillId="0" borderId="23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70" fontId="7" fillId="0" borderId="16" xfId="0" applyNumberFormat="1" applyFont="1" applyBorder="1" applyAlignment="1">
      <alignment horizontal="center" vertical="center" wrapText="1"/>
    </xf>
    <xf numFmtId="165" fontId="7" fillId="0" borderId="23" xfId="0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171" fontId="7" fillId="7" borderId="49" xfId="1" applyNumberFormat="1" applyFont="1" applyFill="1" applyBorder="1" applyAlignment="1" applyProtection="1">
      <alignment horizontal="center" vertical="center" wrapText="1"/>
    </xf>
    <xf numFmtId="0" fontId="12" fillId="10" borderId="0" xfId="0" applyFont="1" applyFill="1" applyAlignment="1">
      <alignment vertical="center"/>
    </xf>
    <xf numFmtId="0" fontId="35" fillId="11" borderId="1" xfId="0" applyFont="1" applyFill="1" applyBorder="1" applyAlignment="1">
      <alignment horizontal="center"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35" fillId="11" borderId="15" xfId="0" applyFont="1" applyFill="1" applyBorder="1" applyAlignment="1">
      <alignment horizontal="center" vertical="center" wrapText="1"/>
    </xf>
    <xf numFmtId="0" fontId="35" fillId="12" borderId="50" xfId="0" applyFont="1" applyFill="1" applyBorder="1" applyAlignment="1">
      <alignment horizontal="center" vertical="center"/>
    </xf>
    <xf numFmtId="2" fontId="35" fillId="12" borderId="27" xfId="0" applyNumberFormat="1" applyFont="1" applyFill="1" applyBorder="1" applyAlignment="1">
      <alignment horizontal="center" vertical="center"/>
    </xf>
    <xf numFmtId="170" fontId="3" fillId="4" borderId="56" xfId="0" quotePrefix="1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3" fontId="2" fillId="0" borderId="2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 wrapText="1"/>
    </xf>
    <xf numFmtId="9" fontId="7" fillId="0" borderId="25" xfId="0" quotePrefix="1" applyNumberFormat="1" applyFont="1" applyBorder="1" applyAlignment="1">
      <alignment horizontal="center" vertical="center" wrapText="1"/>
    </xf>
    <xf numFmtId="0" fontId="36" fillId="11" borderId="44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9" fontId="7" fillId="0" borderId="10" xfId="0" quotePrefix="1" applyNumberFormat="1" applyFont="1" applyBorder="1" applyAlignment="1">
      <alignment horizontal="center" vertical="center" wrapText="1"/>
    </xf>
    <xf numFmtId="9" fontId="8" fillId="0" borderId="10" xfId="0" quotePrefix="1" applyNumberFormat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2" fontId="3" fillId="4" borderId="18" xfId="0" quotePrefix="1" applyNumberFormat="1" applyFont="1" applyFill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/>
    </xf>
    <xf numFmtId="166" fontId="3" fillId="0" borderId="1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 wrapText="1"/>
    </xf>
    <xf numFmtId="173" fontId="7" fillId="0" borderId="14" xfId="0" applyNumberFormat="1" applyFont="1" applyBorder="1" applyAlignment="1">
      <alignment horizontal="center" vertical="center" wrapText="1"/>
    </xf>
    <xf numFmtId="0" fontId="37" fillId="0" borderId="0" xfId="0" applyFont="1"/>
    <xf numFmtId="0" fontId="30" fillId="10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10" borderId="0" xfId="0" applyFont="1" applyFill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12" fillId="10" borderId="0" xfId="0" applyFont="1" applyFill="1" applyAlignment="1">
      <alignment horizontal="center" vertical="center" wrapText="1"/>
    </xf>
    <xf numFmtId="0" fontId="35" fillId="11" borderId="0" xfId="0" applyFont="1" applyFill="1" applyAlignment="1">
      <alignment vertical="center"/>
    </xf>
    <xf numFmtId="0" fontId="38" fillId="10" borderId="0" xfId="0" applyFont="1" applyFill="1"/>
    <xf numFmtId="0" fontId="33" fillId="10" borderId="0" xfId="0" applyFont="1" applyFill="1"/>
    <xf numFmtId="0" fontId="24" fillId="10" borderId="0" xfId="3" applyFont="1" applyFill="1" applyBorder="1"/>
    <xf numFmtId="0" fontId="30" fillId="10" borderId="71" xfId="0" applyFont="1" applyFill="1" applyBorder="1"/>
    <xf numFmtId="0" fontId="30" fillId="10" borderId="72" xfId="0" applyFont="1" applyFill="1" applyBorder="1"/>
    <xf numFmtId="0" fontId="30" fillId="10" borderId="73" xfId="0" applyFont="1" applyFill="1" applyBorder="1"/>
    <xf numFmtId="0" fontId="30" fillId="10" borderId="74" xfId="0" applyFont="1" applyFill="1" applyBorder="1"/>
    <xf numFmtId="0" fontId="35" fillId="11" borderId="75" xfId="0" applyFont="1" applyFill="1" applyBorder="1" applyAlignment="1">
      <alignment vertical="center"/>
    </xf>
    <xf numFmtId="0" fontId="35" fillId="11" borderId="76" xfId="0" applyFont="1" applyFill="1" applyBorder="1" applyAlignment="1">
      <alignment vertical="center"/>
    </xf>
    <xf numFmtId="0" fontId="30" fillId="10" borderId="75" xfId="0" applyFont="1" applyFill="1" applyBorder="1"/>
    <xf numFmtId="0" fontId="30" fillId="10" borderId="76" xfId="0" applyFont="1" applyFill="1" applyBorder="1"/>
    <xf numFmtId="0" fontId="12" fillId="10" borderId="75" xfId="0" applyFont="1" applyFill="1" applyBorder="1" applyAlignment="1">
      <alignment vertical="center"/>
    </xf>
    <xf numFmtId="0" fontId="21" fillId="10" borderId="75" xfId="0" applyFont="1" applyFill="1" applyBorder="1"/>
    <xf numFmtId="0" fontId="13" fillId="10" borderId="75" xfId="0" applyFont="1" applyFill="1" applyBorder="1" applyAlignment="1">
      <alignment vertical="center"/>
    </xf>
    <xf numFmtId="0" fontId="12" fillId="10" borderId="76" xfId="0" applyFont="1" applyFill="1" applyBorder="1" applyAlignment="1">
      <alignment vertical="center"/>
    </xf>
    <xf numFmtId="0" fontId="12" fillId="10" borderId="77" xfId="0" applyFont="1" applyFill="1" applyBorder="1" applyAlignment="1">
      <alignment vertical="center"/>
    </xf>
    <xf numFmtId="0" fontId="33" fillId="10" borderId="75" xfId="0" applyFont="1" applyFill="1" applyBorder="1"/>
    <xf numFmtId="0" fontId="30" fillId="10" borderId="75" xfId="0" applyFont="1" applyFill="1" applyBorder="1" applyAlignment="1">
      <alignment horizontal="right"/>
    </xf>
    <xf numFmtId="0" fontId="33" fillId="10" borderId="0" xfId="0" applyFont="1" applyFill="1" applyAlignment="1">
      <alignment horizontal="right"/>
    </xf>
    <xf numFmtId="0" fontId="39" fillId="0" borderId="22" xfId="0" applyFont="1" applyBorder="1" applyAlignment="1">
      <alignment horizontal="left" vertical="top" wrapText="1"/>
    </xf>
    <xf numFmtId="0" fontId="40" fillId="13" borderId="22" xfId="0" applyFont="1" applyFill="1" applyBorder="1" applyAlignment="1">
      <alignment horizontal="left" vertical="top" wrapText="1"/>
    </xf>
    <xf numFmtId="0" fontId="39" fillId="0" borderId="37" xfId="0" applyFont="1" applyBorder="1" applyAlignment="1">
      <alignment horizontal="left" vertical="top" wrapText="1"/>
    </xf>
    <xf numFmtId="0" fontId="40" fillId="0" borderId="22" xfId="0" applyFont="1" applyBorder="1" applyAlignment="1">
      <alignment horizontal="left" vertical="top" wrapText="1"/>
    </xf>
    <xf numFmtId="0" fontId="40" fillId="0" borderId="21" xfId="0" applyFont="1" applyBorder="1" applyAlignment="1">
      <alignment horizontal="left" vertical="top" wrapText="1"/>
    </xf>
    <xf numFmtId="0" fontId="39" fillId="0" borderId="22" xfId="0" applyFont="1" applyBorder="1" applyAlignment="1">
      <alignment horizontal="justify" vertical="top" wrapText="1"/>
    </xf>
    <xf numFmtId="0" fontId="39" fillId="0" borderId="42" xfId="0" applyFont="1" applyBorder="1" applyAlignment="1">
      <alignment horizontal="left" vertical="top" wrapText="1"/>
    </xf>
    <xf numFmtId="0" fontId="39" fillId="0" borderId="49" xfId="0" applyFont="1" applyBorder="1" applyAlignment="1">
      <alignment vertical="top" wrapText="1"/>
    </xf>
    <xf numFmtId="0" fontId="39" fillId="0" borderId="0" xfId="0" applyFont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left" vertical="top" wrapText="1"/>
    </xf>
    <xf numFmtId="0" fontId="39" fillId="0" borderId="17" xfId="0" applyFont="1" applyBorder="1" applyAlignment="1">
      <alignment vertical="top"/>
    </xf>
    <xf numFmtId="0" fontId="39" fillId="0" borderId="24" xfId="0" applyFont="1" applyBorder="1" applyAlignment="1">
      <alignment horizontal="left" vertical="top" wrapText="1"/>
    </xf>
    <xf numFmtId="0" fontId="40" fillId="0" borderId="21" xfId="0" applyFont="1" applyBorder="1" applyAlignment="1">
      <alignment vertical="center" wrapText="1"/>
    </xf>
    <xf numFmtId="0" fontId="39" fillId="0" borderId="18" xfId="0" applyFont="1" applyBorder="1" applyAlignment="1">
      <alignment vertical="top"/>
    </xf>
    <xf numFmtId="0" fontId="39" fillId="0" borderId="53" xfId="0" applyFont="1" applyBorder="1" applyAlignment="1">
      <alignment horizontal="left" vertical="top" wrapText="1"/>
    </xf>
    <xf numFmtId="0" fontId="39" fillId="0" borderId="22" xfId="0" applyFont="1" applyBorder="1" applyAlignment="1">
      <alignment vertical="center" wrapText="1"/>
    </xf>
    <xf numFmtId="0" fontId="39" fillId="0" borderId="16" xfId="0" applyFont="1" applyBorder="1" applyAlignment="1">
      <alignment vertical="top"/>
    </xf>
    <xf numFmtId="0" fontId="39" fillId="0" borderId="31" xfId="0" applyFont="1" applyBorder="1" applyAlignment="1">
      <alignment horizontal="left" vertical="top" wrapText="1"/>
    </xf>
    <xf numFmtId="0" fontId="39" fillId="0" borderId="42" xfId="0" applyFont="1" applyBorder="1" applyAlignment="1">
      <alignment vertical="center" wrapText="1"/>
    </xf>
    <xf numFmtId="0" fontId="39" fillId="0" borderId="58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21" xfId="0" applyFont="1" applyBorder="1" applyAlignment="1">
      <alignment horizontal="left" vertical="top" wrapText="1"/>
    </xf>
    <xf numFmtId="0" fontId="39" fillId="0" borderId="51" xfId="0" applyFont="1" applyBorder="1" applyAlignment="1">
      <alignment vertical="top" wrapText="1"/>
    </xf>
    <xf numFmtId="0" fontId="39" fillId="0" borderId="29" xfId="0" applyFont="1" applyBorder="1" applyAlignment="1">
      <alignment vertical="top" wrapText="1"/>
    </xf>
    <xf numFmtId="0" fontId="39" fillId="0" borderId="4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 indent="2"/>
    </xf>
    <xf numFmtId="0" fontId="39" fillId="0" borderId="2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justify" vertical="top" wrapText="1"/>
    </xf>
    <xf numFmtId="0" fontId="39" fillId="0" borderId="5" xfId="0" applyFont="1" applyBorder="1" applyAlignment="1">
      <alignment horizontal="left" vertical="top" wrapText="1"/>
    </xf>
    <xf numFmtId="0" fontId="39" fillId="0" borderId="10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16" xfId="0" applyFont="1" applyBorder="1" applyAlignment="1">
      <alignment horizontal="left" vertical="top" wrapText="1"/>
    </xf>
    <xf numFmtId="0" fontId="39" fillId="0" borderId="32" xfId="0" applyFont="1" applyBorder="1" applyAlignment="1">
      <alignment horizontal="center" vertical="top"/>
    </xf>
    <xf numFmtId="0" fontId="39" fillId="0" borderId="59" xfId="0" applyFont="1" applyBorder="1" applyAlignment="1">
      <alignment horizontal="center" vertical="top"/>
    </xf>
    <xf numFmtId="0" fontId="39" fillId="0" borderId="60" xfId="0" applyFont="1" applyBorder="1" applyAlignment="1">
      <alignment horizontal="center" vertical="top"/>
    </xf>
    <xf numFmtId="0" fontId="46" fillId="10" borderId="0" xfId="3" applyFont="1" applyFill="1" applyBorder="1"/>
    <xf numFmtId="0" fontId="39" fillId="0" borderId="16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top" wrapText="1" indent="2"/>
    </xf>
    <xf numFmtId="0" fontId="30" fillId="16" borderId="0" xfId="0" applyFont="1" applyFill="1"/>
    <xf numFmtId="1" fontId="3" fillId="7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49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12" fillId="10" borderId="61" xfId="0" applyFont="1" applyFill="1" applyBorder="1" applyAlignment="1">
      <alignment horizontal="left" vertical="center" wrapText="1"/>
    </xf>
    <xf numFmtId="0" fontId="12" fillId="10" borderId="54" xfId="0" applyFont="1" applyFill="1" applyBorder="1" applyAlignment="1">
      <alignment horizontal="left" vertical="center" wrapText="1"/>
    </xf>
    <xf numFmtId="0" fontId="12" fillId="10" borderId="51" xfId="0" applyFont="1" applyFill="1" applyBorder="1" applyAlignment="1">
      <alignment horizontal="left" vertical="center" wrapText="1"/>
    </xf>
    <xf numFmtId="0" fontId="12" fillId="10" borderId="45" xfId="0" applyFont="1" applyFill="1" applyBorder="1" applyAlignment="1">
      <alignment horizontal="left" vertical="center" wrapText="1"/>
    </xf>
    <xf numFmtId="0" fontId="12" fillId="10" borderId="50" xfId="0" applyFont="1" applyFill="1" applyBorder="1" applyAlignment="1">
      <alignment horizontal="left" vertical="center" wrapText="1"/>
    </xf>
    <xf numFmtId="0" fontId="12" fillId="10" borderId="58" xfId="0" applyFont="1" applyFill="1" applyBorder="1" applyAlignment="1">
      <alignment horizontal="left" vertical="center" wrapText="1"/>
    </xf>
    <xf numFmtId="0" fontId="12" fillId="10" borderId="44" xfId="0" applyFont="1" applyFill="1" applyBorder="1" applyAlignment="1">
      <alignment horizontal="left" vertical="center" wrapText="1"/>
    </xf>
    <xf numFmtId="0" fontId="12" fillId="10" borderId="15" xfId="0" applyFont="1" applyFill="1" applyBorder="1" applyAlignment="1">
      <alignment horizontal="left" vertical="center" wrapText="1"/>
    </xf>
    <xf numFmtId="0" fontId="12" fillId="10" borderId="29" xfId="0" applyFont="1" applyFill="1" applyBorder="1" applyAlignment="1">
      <alignment horizontal="left" vertical="center" wrapText="1"/>
    </xf>
    <xf numFmtId="0" fontId="12" fillId="10" borderId="45" xfId="0" applyFont="1" applyFill="1" applyBorder="1" applyAlignment="1">
      <alignment horizontal="center" vertical="center" wrapText="1"/>
    </xf>
    <xf numFmtId="0" fontId="12" fillId="10" borderId="50" xfId="0" applyFont="1" applyFill="1" applyBorder="1" applyAlignment="1">
      <alignment horizontal="center" vertical="center" wrapText="1"/>
    </xf>
    <xf numFmtId="0" fontId="12" fillId="10" borderId="58" xfId="0" applyFont="1" applyFill="1" applyBorder="1" applyAlignment="1">
      <alignment horizontal="center" vertical="center" wrapText="1"/>
    </xf>
    <xf numFmtId="0" fontId="12" fillId="10" borderId="75" xfId="0" applyFont="1" applyFill="1" applyBorder="1" applyAlignment="1">
      <alignment horizontal="left" vertical="center"/>
    </xf>
    <xf numFmtId="0" fontId="12" fillId="10" borderId="0" xfId="0" applyFont="1" applyFill="1" applyAlignment="1">
      <alignment horizontal="left" vertical="center"/>
    </xf>
    <xf numFmtId="0" fontId="12" fillId="10" borderId="30" xfId="0" applyFont="1" applyFill="1" applyBorder="1" applyAlignment="1">
      <alignment horizontal="left" vertical="center"/>
    </xf>
    <xf numFmtId="14" fontId="21" fillId="7" borderId="44" xfId="0" applyNumberFormat="1" applyFont="1" applyFill="1" applyBorder="1" applyAlignment="1">
      <alignment horizontal="center" vertical="center" wrapText="1"/>
    </xf>
    <xf numFmtId="14" fontId="21" fillId="7" borderId="15" xfId="0" applyNumberFormat="1" applyFont="1" applyFill="1" applyBorder="1" applyAlignment="1">
      <alignment horizontal="center" vertical="center" wrapText="1"/>
    </xf>
    <xf numFmtId="14" fontId="21" fillId="7" borderId="29" xfId="0" applyNumberFormat="1" applyFont="1" applyFill="1" applyBorder="1" applyAlignment="1">
      <alignment horizontal="center" vertical="center" wrapText="1"/>
    </xf>
    <xf numFmtId="0" fontId="33" fillId="10" borderId="78" xfId="0" applyFont="1" applyFill="1" applyBorder="1" applyAlignment="1">
      <alignment horizontal="center" vertical="center" wrapText="1"/>
    </xf>
    <xf numFmtId="0" fontId="33" fillId="10" borderId="79" xfId="0" applyFont="1" applyFill="1" applyBorder="1" applyAlignment="1">
      <alignment horizontal="center" vertical="center" wrapText="1"/>
    </xf>
    <xf numFmtId="0" fontId="33" fillId="10" borderId="80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41" fillId="11" borderId="81" xfId="0" applyFont="1" applyFill="1" applyBorder="1" applyAlignment="1">
      <alignment horizontal="center"/>
    </xf>
    <xf numFmtId="0" fontId="41" fillId="11" borderId="82" xfId="0" applyFont="1" applyFill="1" applyBorder="1" applyAlignment="1">
      <alignment horizontal="center"/>
    </xf>
    <xf numFmtId="0" fontId="41" fillId="11" borderId="83" xfId="0" applyFont="1" applyFill="1" applyBorder="1" applyAlignment="1">
      <alignment horizontal="center"/>
    </xf>
    <xf numFmtId="0" fontId="41" fillId="11" borderId="75" xfId="0" applyFont="1" applyFill="1" applyBorder="1" applyAlignment="1">
      <alignment horizontal="center"/>
    </xf>
    <xf numFmtId="0" fontId="41" fillId="11" borderId="0" xfId="0" applyFont="1" applyFill="1" applyAlignment="1">
      <alignment horizontal="center"/>
    </xf>
    <xf numFmtId="0" fontId="41" fillId="11" borderId="76" xfId="0" applyFont="1" applyFill="1" applyBorder="1" applyAlignment="1">
      <alignment horizontal="center"/>
    </xf>
    <xf numFmtId="0" fontId="35" fillId="11" borderId="75" xfId="0" applyFont="1" applyFill="1" applyBorder="1" applyAlignment="1">
      <alignment horizontal="center" vertical="center" wrapText="1"/>
    </xf>
    <xf numFmtId="0" fontId="35" fillId="11" borderId="0" xfId="0" applyFont="1" applyFill="1" applyAlignment="1">
      <alignment horizontal="center" vertical="center"/>
    </xf>
    <xf numFmtId="0" fontId="35" fillId="11" borderId="76" xfId="0" applyFont="1" applyFill="1" applyBorder="1" applyAlignment="1">
      <alignment horizontal="center" vertical="center"/>
    </xf>
    <xf numFmtId="0" fontId="35" fillId="11" borderId="75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29" xfId="0" applyFont="1" applyFill="1" applyBorder="1" applyAlignment="1">
      <alignment horizontal="left" vertical="center" wrapText="1"/>
    </xf>
    <xf numFmtId="0" fontId="24" fillId="7" borderId="44" xfId="3" applyFont="1" applyFill="1" applyBorder="1" applyAlignment="1" applyProtection="1">
      <alignment horizontal="left" vertical="center" wrapText="1"/>
    </xf>
    <xf numFmtId="0" fontId="24" fillId="7" borderId="15" xfId="3" applyFont="1" applyFill="1" applyBorder="1" applyAlignment="1" applyProtection="1">
      <alignment horizontal="left" vertical="center" wrapText="1"/>
    </xf>
    <xf numFmtId="0" fontId="24" fillId="7" borderId="29" xfId="3" applyFont="1" applyFill="1" applyBorder="1" applyAlignment="1" applyProtection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left" vertical="top" wrapText="1"/>
    </xf>
    <xf numFmtId="0" fontId="39" fillId="0" borderId="18" xfId="0" applyFont="1" applyBorder="1" applyAlignment="1">
      <alignment horizontal="left" vertical="top" wrapText="1"/>
    </xf>
    <xf numFmtId="0" fontId="39" fillId="0" borderId="16" xfId="0" applyFont="1" applyBorder="1" applyAlignment="1">
      <alignment horizontal="left" vertical="top" wrapText="1"/>
    </xf>
    <xf numFmtId="0" fontId="42" fillId="11" borderId="13" xfId="0" applyFont="1" applyFill="1" applyBorder="1" applyAlignment="1">
      <alignment horizontal="center" vertical="center" wrapText="1"/>
    </xf>
    <xf numFmtId="0" fontId="42" fillId="11" borderId="10" xfId="0" applyFont="1" applyFill="1" applyBorder="1" applyAlignment="1">
      <alignment horizontal="center" vertical="center" wrapText="1"/>
    </xf>
    <xf numFmtId="0" fontId="42" fillId="11" borderId="5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42" fillId="11" borderId="44" xfId="0" applyFont="1" applyFill="1" applyBorder="1" applyAlignment="1">
      <alignment horizontal="center" vertical="center" wrapText="1"/>
    </xf>
    <xf numFmtId="0" fontId="42" fillId="11" borderId="15" xfId="0" applyFont="1" applyFill="1" applyBorder="1" applyAlignment="1">
      <alignment horizontal="center" vertical="center" wrapText="1"/>
    </xf>
    <xf numFmtId="0" fontId="42" fillId="11" borderId="29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18" fillId="5" borderId="55" xfId="0" applyFont="1" applyFill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45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top"/>
    </xf>
    <xf numFmtId="0" fontId="7" fillId="0" borderId="45" xfId="0" applyFont="1" applyBorder="1" applyAlignment="1">
      <alignment horizontal="center" vertical="top"/>
    </xf>
    <xf numFmtId="0" fontId="42" fillId="11" borderId="10" xfId="0" applyFont="1" applyFill="1" applyBorder="1" applyAlignment="1">
      <alignment horizontal="center" vertical="center"/>
    </xf>
    <xf numFmtId="0" fontId="42" fillId="11" borderId="55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39" fillId="0" borderId="24" xfId="0" applyFont="1" applyBorder="1" applyAlignment="1">
      <alignment horizontal="left" vertical="top" wrapText="1"/>
    </xf>
    <xf numFmtId="0" fontId="39" fillId="0" borderId="31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62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43" fillId="11" borderId="44" xfId="0" applyFont="1" applyFill="1" applyBorder="1" applyAlignment="1">
      <alignment horizontal="center" vertical="center" wrapText="1"/>
    </xf>
    <xf numFmtId="0" fontId="43" fillId="11" borderId="15" xfId="0" applyFont="1" applyFill="1" applyBorder="1" applyAlignment="1">
      <alignment horizontal="center" vertical="center" wrapText="1"/>
    </xf>
    <xf numFmtId="0" fontId="43" fillId="11" borderId="29" xfId="0" applyFont="1" applyFill="1" applyBorder="1" applyAlignment="1">
      <alignment horizontal="center" vertical="center" wrapText="1"/>
    </xf>
    <xf numFmtId="9" fontId="7" fillId="0" borderId="2" xfId="0" quotePrefix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3" fillId="11" borderId="15" xfId="0" applyFont="1" applyFill="1" applyBorder="1" applyAlignment="1">
      <alignment horizontal="center" vertical="center"/>
    </xf>
    <xf numFmtId="0" fontId="43" fillId="11" borderId="29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7" fillId="0" borderId="22" xfId="0" quotePrefix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3" fillId="11" borderId="44" xfId="0" applyFont="1" applyFill="1" applyBorder="1" applyAlignment="1">
      <alignment horizontal="center" vertical="center"/>
    </xf>
    <xf numFmtId="0" fontId="7" fillId="0" borderId="17" xfId="0" quotePrefix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quotePrefix="1" applyFont="1" applyBorder="1" applyAlignment="1">
      <alignment horizontal="center" vertical="center" wrapText="1"/>
    </xf>
    <xf numFmtId="0" fontId="7" fillId="0" borderId="21" xfId="0" quotePrefix="1" applyFont="1" applyBorder="1" applyAlignment="1">
      <alignment horizontal="center" vertical="center" wrapTex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9" fontId="3" fillId="0" borderId="2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7" fillId="0" borderId="25" xfId="0" quotePrefix="1" applyNumberFormat="1" applyFont="1" applyBorder="1" applyAlignment="1">
      <alignment horizontal="center" vertical="center" wrapText="1"/>
    </xf>
    <xf numFmtId="9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top" wrapText="1"/>
    </xf>
    <xf numFmtId="0" fontId="7" fillId="0" borderId="67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top" wrapText="1"/>
    </xf>
    <xf numFmtId="0" fontId="7" fillId="0" borderId="59" xfId="0" applyFont="1" applyBorder="1" applyAlignment="1">
      <alignment horizontal="center" vertical="top" wrapText="1"/>
    </xf>
    <xf numFmtId="0" fontId="7" fillId="0" borderId="6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9" xfId="0" applyFont="1" applyBorder="1" applyAlignment="1">
      <alignment horizontal="center" vertical="top" wrapText="1"/>
    </xf>
    <xf numFmtId="9" fontId="7" fillId="0" borderId="9" xfId="0" applyNumberFormat="1" applyFont="1" applyBorder="1" applyAlignment="1">
      <alignment horizontal="center" vertical="center" wrapText="1"/>
    </xf>
    <xf numFmtId="9" fontId="7" fillId="0" borderId="8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40" xfId="0" applyNumberFormat="1" applyFont="1" applyBorder="1" applyAlignment="1">
      <alignment horizontal="center" vertical="center" wrapText="1"/>
    </xf>
    <xf numFmtId="9" fontId="3" fillId="0" borderId="64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9" fontId="7" fillId="0" borderId="25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9" fontId="7" fillId="0" borderId="3" xfId="0" quotePrefix="1" applyNumberFormat="1" applyFont="1" applyBorder="1" applyAlignment="1">
      <alignment horizontal="center" vertical="center" wrapText="1"/>
    </xf>
    <xf numFmtId="9" fontId="7" fillId="0" borderId="6" xfId="0" quotePrefix="1" applyNumberFormat="1" applyFont="1" applyBorder="1" applyAlignment="1">
      <alignment horizontal="center" vertical="center" wrapText="1"/>
    </xf>
    <xf numFmtId="0" fontId="3" fillId="0" borderId="17" xfId="0" quotePrefix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53" xfId="0" applyNumberFormat="1" applyFont="1" applyBorder="1" applyAlignment="1">
      <alignment horizontal="center" vertical="center" wrapText="1"/>
    </xf>
    <xf numFmtId="9" fontId="7" fillId="0" borderId="4" xfId="0" quotePrefix="1" applyNumberFormat="1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9" fontId="7" fillId="0" borderId="54" xfId="0" applyNumberFormat="1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9" fontId="7" fillId="14" borderId="50" xfId="0" applyNumberFormat="1" applyFont="1" applyFill="1" applyBorder="1" applyAlignment="1">
      <alignment horizontal="center" vertical="center"/>
    </xf>
    <xf numFmtId="9" fontId="3" fillId="14" borderId="14" xfId="0" applyNumberFormat="1" applyFont="1" applyFill="1" applyBorder="1" applyAlignment="1">
      <alignment horizontal="center" vertical="center"/>
    </xf>
    <xf numFmtId="9" fontId="3" fillId="14" borderId="15" xfId="0" applyNumberFormat="1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15" borderId="44" xfId="0" applyFont="1" applyFill="1" applyBorder="1" applyAlignment="1">
      <alignment horizontal="center" vertical="top" wrapText="1"/>
    </xf>
    <xf numFmtId="0" fontId="7" fillId="15" borderId="15" xfId="0" applyFont="1" applyFill="1" applyBorder="1" applyAlignment="1">
      <alignment horizontal="center" vertical="top" wrapText="1"/>
    </xf>
    <xf numFmtId="0" fontId="7" fillId="15" borderId="29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49" fontId="7" fillId="0" borderId="2" xfId="0" quotePrefix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9" fontId="7" fillId="0" borderId="52" xfId="0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9" fontId="3" fillId="0" borderId="63" xfId="0" applyNumberFormat="1" applyFont="1" applyBorder="1" applyAlignment="1">
      <alignment horizontal="center" vertical="center" wrapText="1"/>
    </xf>
    <xf numFmtId="2" fontId="3" fillId="14" borderId="10" xfId="0" applyNumberFormat="1" applyFont="1" applyFill="1" applyBorder="1" applyAlignment="1">
      <alignment horizontal="center" vertical="center"/>
    </xf>
    <xf numFmtId="2" fontId="3" fillId="14" borderId="14" xfId="0" applyNumberFormat="1" applyFont="1" applyFill="1" applyBorder="1" applyAlignment="1">
      <alignment horizontal="center" vertical="center"/>
    </xf>
    <xf numFmtId="49" fontId="7" fillId="0" borderId="7" xfId="0" quotePrefix="1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39" fillId="0" borderId="2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49" fontId="7" fillId="0" borderId="11" xfId="0" quotePrefix="1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25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4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42" xfId="0" applyNumberFormat="1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49" fontId="7" fillId="0" borderId="4" xfId="0" quotePrefix="1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35" fillId="12" borderId="67" xfId="0" applyFont="1" applyFill="1" applyBorder="1" applyAlignment="1">
      <alignment horizontal="center" vertical="center"/>
    </xf>
    <xf numFmtId="0" fontId="35" fillId="12" borderId="70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left" vertical="center" wrapText="1"/>
    </xf>
    <xf numFmtId="0" fontId="31" fillId="6" borderId="22" xfId="0" applyFont="1" applyFill="1" applyBorder="1" applyAlignment="1">
      <alignment horizontal="left" vertical="center" wrapText="1"/>
    </xf>
    <xf numFmtId="0" fontId="44" fillId="11" borderId="11" xfId="0" applyFont="1" applyFill="1" applyBorder="1" applyAlignment="1">
      <alignment horizontal="center" vertical="center" wrapText="1"/>
    </xf>
    <xf numFmtId="0" fontId="44" fillId="11" borderId="22" xfId="0" applyFont="1" applyFill="1" applyBorder="1" applyAlignment="1">
      <alignment horizontal="center" vertical="center" wrapText="1"/>
    </xf>
    <xf numFmtId="0" fontId="44" fillId="11" borderId="41" xfId="0" applyFont="1" applyFill="1" applyBorder="1" applyAlignment="1">
      <alignment horizontal="center" vertical="center" wrapText="1"/>
    </xf>
  </cellXfs>
  <cellStyles count="11">
    <cellStyle name="Comma" xfId="1" builtinId="3"/>
    <cellStyle name="Comma 2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 96" xfId="6" xr:uid="{00000000-0005-0000-0000-000006000000}"/>
    <cellStyle name="Percent" xfId="7" builtinId="5"/>
    <cellStyle name="Percent 2" xfId="8" xr:uid="{00000000-0005-0000-0000-000008000000}"/>
    <cellStyle name="Percent 3" xfId="9" xr:uid="{00000000-0005-0000-0000-000009000000}"/>
    <cellStyle name="標準 2" xfId="10" xr:uid="{00000000-0005-0000-0000-00000A000000}"/>
  </cellStyles>
  <dxfs count="63"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1885950</xdr:colOff>
      <xdr:row>2</xdr:row>
      <xdr:rowOff>161925</xdr:rowOff>
    </xdr:from>
    <xdr:to>
      <xdr:col>6</xdr:col>
      <xdr:colOff>419100</xdr:colOff>
      <xdr:row>7</xdr:row>
      <xdr:rowOff>9525</xdr:rowOff>
    </xdr:to>
    <xdr:pic>
      <xdr:nvPicPr>
        <xdr:cNvPr id="15384" name="Picture 4">
          <a:extLst>
            <a:ext uri="{FF2B5EF4-FFF2-40B4-BE49-F238E27FC236}">
              <a16:creationId xmlns:a16="http://schemas.microsoft.com/office/drawing/2014/main" id="{FAD71120-47B9-A007-FEC1-2A7CCA698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90" b="34933"/>
        <a:stretch>
          <a:fillRect/>
        </a:stretch>
      </xdr:blipFill>
      <xdr:spPr bwMode="auto">
        <a:xfrm>
          <a:off x="4076700" y="628650"/>
          <a:ext cx="29337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112</xdr:row>
      <xdr:rowOff>38100</xdr:rowOff>
    </xdr:from>
    <xdr:to>
      <xdr:col>3</xdr:col>
      <xdr:colOff>1914525</xdr:colOff>
      <xdr:row>117</xdr:row>
      <xdr:rowOff>104775</xdr:rowOff>
    </xdr:to>
    <xdr:grpSp>
      <xdr:nvGrpSpPr>
        <xdr:cNvPr id="16494" name="Group 12">
          <a:extLst>
            <a:ext uri="{FF2B5EF4-FFF2-40B4-BE49-F238E27FC236}">
              <a16:creationId xmlns:a16="http://schemas.microsoft.com/office/drawing/2014/main" id="{5BB2AC85-EAA7-8434-D78A-E78318403B1F}"/>
            </a:ext>
          </a:extLst>
        </xdr:cNvPr>
        <xdr:cNvGrpSpPr>
          <a:grpSpLocks/>
        </xdr:cNvGrpSpPr>
      </xdr:nvGrpSpPr>
      <xdr:grpSpPr bwMode="auto">
        <a:xfrm>
          <a:off x="449036" y="47935243"/>
          <a:ext cx="3737882" cy="1087211"/>
          <a:chOff x="427935" y="35811710"/>
          <a:chExt cx="3740978" cy="96307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81C9584C-8C69-A060-E557-8725255B5FC8}"/>
              </a:ext>
            </a:extLst>
          </xdr:cNvPr>
          <xdr:cNvSpPr/>
        </xdr:nvSpPr>
        <xdr:spPr bwMode="auto">
          <a:xfrm>
            <a:off x="427935" y="35811710"/>
            <a:ext cx="3740978" cy="963073"/>
          </a:xfrm>
          <a:prstGeom prst="rect">
            <a:avLst/>
          </a:prstGeom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en-US">
              <a:solidFill>
                <a:srgbClr val="000000"/>
              </a:solidFill>
            </a:endParaRPr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4922E245-8FBF-8F71-0389-9F20BC76012E}"/>
              </a:ext>
            </a:extLst>
          </xdr:cNvPr>
          <xdr:cNvSpPr/>
        </xdr:nvSpPr>
        <xdr:spPr bwMode="auto">
          <a:xfrm>
            <a:off x="656974" y="36430828"/>
            <a:ext cx="238583" cy="197774"/>
          </a:xfrm>
          <a:prstGeom prst="ellipse">
            <a:avLst/>
          </a:prstGeom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en-US">
              <a:solidFill>
                <a:srgbClr val="FFFFFF"/>
              </a:solidFill>
            </a:endParaRPr>
          </a:p>
        </xdr:txBody>
      </xdr:sp>
      <xdr:sp macro="" textlink="">
        <xdr:nvSpPr>
          <xdr:cNvPr id="5" name="TextBox 39">
            <a:extLst>
              <a:ext uri="{FF2B5EF4-FFF2-40B4-BE49-F238E27FC236}">
                <a16:creationId xmlns:a16="http://schemas.microsoft.com/office/drawing/2014/main" id="{08A10821-FA16-E1A3-75D8-BEAF7FAF1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022" y="35837507"/>
            <a:ext cx="1832316" cy="257966"/>
          </a:xfrm>
          <a:prstGeom prst="rect">
            <a:avLst/>
          </a:prstGeom>
          <a:noFill/>
          <a:ln>
            <a:noFill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r>
              <a:rPr lang="en-US" altLang="en-US" sz="1100" b="1"/>
              <a:t>Petunjuk Mark</a:t>
            </a:r>
            <a:r>
              <a:rPr lang="en-US" altLang="en-US" sz="1100" b="1" baseline="0"/>
              <a:t> Obtained</a:t>
            </a:r>
            <a:endParaRPr lang="en-US" altLang="en-US" sz="1100" b="1"/>
          </a:p>
        </xdr:txBody>
      </xdr:sp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7EF8795D-26DE-7869-0E09-EE9FF274DE72}"/>
              </a:ext>
            </a:extLst>
          </xdr:cNvPr>
          <xdr:cNvSpPr/>
        </xdr:nvSpPr>
        <xdr:spPr bwMode="auto">
          <a:xfrm>
            <a:off x="2298424" y="36112670"/>
            <a:ext cx="229039" cy="206373"/>
          </a:xfrm>
          <a:prstGeom prst="ellipse">
            <a:avLst/>
          </a:prstGeom>
          <a:solidFill>
            <a:srgbClr val="FFFF00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en-US">
              <a:solidFill>
                <a:srgbClr val="FFFFFF"/>
              </a:solidFill>
            </a:endParaRPr>
          </a:p>
        </xdr:txBody>
      </xdr:sp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2AA5284-26B8-D0F2-21E6-94FD20047150}"/>
              </a:ext>
            </a:extLst>
          </xdr:cNvPr>
          <xdr:cNvSpPr/>
        </xdr:nvSpPr>
        <xdr:spPr bwMode="auto">
          <a:xfrm>
            <a:off x="2298424" y="36430828"/>
            <a:ext cx="229039" cy="197774"/>
          </a:xfrm>
          <a:prstGeom prst="ellipse">
            <a:avLst/>
          </a:prstGeom>
        </xdr:spPr>
        <xdr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en-US">
              <a:solidFill>
                <a:srgbClr val="FFFFFF"/>
              </a:solidFill>
            </a:endParaRPr>
          </a:p>
        </xdr:txBody>
      </xdr:sp>
      <xdr:sp macro="" textlink="">
        <xdr:nvSpPr>
          <xdr:cNvPr id="8" name="TextBox 42">
            <a:extLst>
              <a:ext uri="{FF2B5EF4-FFF2-40B4-BE49-F238E27FC236}">
                <a16:creationId xmlns:a16="http://schemas.microsoft.com/office/drawing/2014/main" id="{F6022003-51B3-788B-2E8A-1926E0DD7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5557" y="36379235"/>
            <a:ext cx="1402867" cy="343955"/>
          </a:xfrm>
          <a:prstGeom prst="rect">
            <a:avLst/>
          </a:prstGeom>
          <a:noFill/>
          <a:ln>
            <a:noFill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r>
              <a:rPr lang="en-US" altLang="en-US" sz="1100"/>
              <a:t>80% - 100%</a:t>
            </a:r>
          </a:p>
        </xdr:txBody>
      </xdr:sp>
      <xdr:sp macro="" textlink="">
        <xdr:nvSpPr>
          <xdr:cNvPr id="9" name="TextBox 43">
            <a:extLst>
              <a:ext uri="{FF2B5EF4-FFF2-40B4-BE49-F238E27FC236}">
                <a16:creationId xmlns:a16="http://schemas.microsoft.com/office/drawing/2014/main" id="{AD46C235-DDEF-9912-0E4A-D5AD543B24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27463" y="36069676"/>
            <a:ext cx="1641450" cy="361152"/>
          </a:xfrm>
          <a:prstGeom prst="rect">
            <a:avLst/>
          </a:prstGeom>
          <a:noFill/>
          <a:ln>
            <a:noFill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r>
              <a:rPr lang="en-US" altLang="en-US" sz="1100"/>
              <a:t>60% - 79%</a:t>
            </a:r>
          </a:p>
        </xdr:txBody>
      </xdr:sp>
      <xdr:sp macro="" textlink="">
        <xdr:nvSpPr>
          <xdr:cNvPr id="10" name="TextBox 44">
            <a:extLst>
              <a:ext uri="{FF2B5EF4-FFF2-40B4-BE49-F238E27FC236}">
                <a16:creationId xmlns:a16="http://schemas.microsoft.com/office/drawing/2014/main" id="{94102FF6-592A-EEF8-772B-0B37990CCD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27463" y="36379235"/>
            <a:ext cx="1641450" cy="343955"/>
          </a:xfrm>
          <a:prstGeom prst="rect">
            <a:avLst/>
          </a:prstGeom>
          <a:noFill/>
          <a:ln>
            <a:noFill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r>
              <a:rPr lang="en-US" altLang="en-US" sz="1100"/>
              <a:t>&lt; 60%</a:t>
            </a:r>
          </a:p>
        </xdr:txBody>
      </xdr:sp>
      <xdr:sp macro="" textlink="">
        <xdr:nvSpPr>
          <xdr:cNvPr id="11" name="Oval 10">
            <a:extLst>
              <a:ext uri="{FF2B5EF4-FFF2-40B4-BE49-F238E27FC236}">
                <a16:creationId xmlns:a16="http://schemas.microsoft.com/office/drawing/2014/main" id="{F6CDDB86-21DB-84B8-511A-18BD4BE33D22}"/>
              </a:ext>
            </a:extLst>
          </xdr:cNvPr>
          <xdr:cNvSpPr/>
        </xdr:nvSpPr>
        <xdr:spPr bwMode="auto">
          <a:xfrm>
            <a:off x="656974" y="36112670"/>
            <a:ext cx="238583" cy="206373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en-US">
              <a:solidFill>
                <a:srgbClr val="FFFFFF"/>
              </a:solidFill>
            </a:endParaRPr>
          </a:p>
        </xdr:txBody>
      </xdr:sp>
      <xdr:sp macro="" textlink="">
        <xdr:nvSpPr>
          <xdr:cNvPr id="12" name="TextBox 48">
            <a:extLst>
              <a:ext uri="{FF2B5EF4-FFF2-40B4-BE49-F238E27FC236}">
                <a16:creationId xmlns:a16="http://schemas.microsoft.com/office/drawing/2014/main" id="{4CC17257-F3F1-6610-BD05-BDA9BA9CEE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5557" y="36069676"/>
            <a:ext cx="1173827" cy="361152"/>
          </a:xfrm>
          <a:prstGeom prst="rect">
            <a:avLst/>
          </a:prstGeom>
          <a:noFill/>
          <a:ln>
            <a:noFill/>
          </a:ln>
        </xdr:spPr>
        <xdr:txBody>
          <a:bodyPr wrap="square">
            <a:no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lvl9pPr>
          </a:lstStyle>
          <a:p>
            <a:r>
              <a:rPr lang="en-US" altLang="en-US" sz="1100"/>
              <a:t>&gt; 100%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itha@mohe.gov.my" TargetMode="External"/><Relationship Id="rId2" Type="http://schemas.openxmlformats.org/officeDocument/2006/relationships/hyperlink" Target="mailto:wn.amirah@mohe.gov.my" TargetMode="External"/><Relationship Id="rId1" Type="http://schemas.openxmlformats.org/officeDocument/2006/relationships/hyperlink" Target="mailto:auninajwa@mohe.gov.m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R73"/>
  <sheetViews>
    <sheetView tabSelected="1" zoomScale="70" zoomScaleNormal="70" zoomScaleSheetLayoutView="100" workbookViewId="0">
      <selection activeCell="B11" sqref="B11:I11"/>
    </sheetView>
  </sheetViews>
  <sheetFormatPr defaultColWidth="9.140625" defaultRowHeight="18" x14ac:dyDescent="0.25"/>
  <cols>
    <col min="1" max="1" width="2.85546875" style="1" customWidth="1"/>
    <col min="2" max="3" width="15" style="1" customWidth="1"/>
    <col min="4" max="4" width="36" style="1" customWidth="1"/>
    <col min="5" max="7" width="15" style="1" customWidth="1"/>
    <col min="8" max="8" width="25" style="1" customWidth="1"/>
    <col min="9" max="9" width="18.5703125" style="1" customWidth="1"/>
    <col min="10" max="10" width="2.140625" style="1" customWidth="1"/>
    <col min="11" max="11" width="5.7109375" style="1" customWidth="1"/>
    <col min="12" max="16" width="10.28515625" style="1" customWidth="1"/>
    <col min="17" max="16384" width="9.140625" style="1"/>
  </cols>
  <sheetData>
    <row r="1" spans="1:9" ht="18.75" thickBot="1" x14ac:dyDescent="0.3">
      <c r="A1" s="461"/>
    </row>
    <row r="2" spans="1:9" x14ac:dyDescent="0.25">
      <c r="B2" s="488"/>
      <c r="C2" s="489"/>
      <c r="D2" s="489"/>
      <c r="E2" s="489"/>
      <c r="F2" s="489"/>
      <c r="G2" s="489"/>
      <c r="H2" s="489"/>
      <c r="I2" s="490"/>
    </row>
    <row r="3" spans="1:9" x14ac:dyDescent="0.25">
      <c r="B3" s="491"/>
      <c r="C3" s="492"/>
      <c r="D3" s="492"/>
      <c r="E3" s="492"/>
      <c r="F3" s="492"/>
      <c r="G3" s="492"/>
      <c r="H3" s="492"/>
      <c r="I3" s="493"/>
    </row>
    <row r="4" spans="1:9" x14ac:dyDescent="0.25">
      <c r="B4" s="491"/>
      <c r="C4" s="492"/>
      <c r="D4" s="492"/>
      <c r="E4" s="492"/>
      <c r="F4" s="492"/>
      <c r="G4" s="492"/>
      <c r="H4" s="492"/>
      <c r="I4" s="493"/>
    </row>
    <row r="5" spans="1:9" x14ac:dyDescent="0.25">
      <c r="B5" s="491"/>
      <c r="C5" s="492"/>
      <c r="D5" s="492"/>
      <c r="E5" s="492"/>
      <c r="F5" s="492"/>
      <c r="G5" s="492"/>
      <c r="H5" s="492"/>
      <c r="I5" s="493"/>
    </row>
    <row r="6" spans="1:9" x14ac:dyDescent="0.25">
      <c r="B6" s="491"/>
      <c r="C6" s="492"/>
      <c r="D6" s="492"/>
      <c r="E6" s="492"/>
      <c r="F6" s="492"/>
      <c r="G6" s="492"/>
      <c r="H6" s="492"/>
      <c r="I6" s="493"/>
    </row>
    <row r="7" spans="1:9" ht="21" customHeight="1" x14ac:dyDescent="0.25">
      <c r="B7" s="491"/>
      <c r="C7" s="492"/>
      <c r="D7" s="492"/>
      <c r="E7" s="492"/>
      <c r="F7" s="492"/>
      <c r="G7" s="492"/>
      <c r="H7" s="492"/>
      <c r="I7" s="493"/>
    </row>
    <row r="8" spans="1:9" ht="61.5" customHeight="1" x14ac:dyDescent="0.25">
      <c r="B8" s="494" t="s">
        <v>309</v>
      </c>
      <c r="C8" s="495"/>
      <c r="D8" s="495"/>
      <c r="E8" s="495"/>
      <c r="F8" s="495"/>
      <c r="G8" s="495"/>
      <c r="H8" s="495"/>
      <c r="I8" s="496"/>
    </row>
    <row r="9" spans="1:9" x14ac:dyDescent="0.25">
      <c r="B9" s="497"/>
      <c r="C9" s="495"/>
      <c r="D9" s="495"/>
      <c r="E9" s="495"/>
      <c r="F9" s="495"/>
      <c r="G9" s="495"/>
      <c r="H9" s="495"/>
      <c r="I9" s="496"/>
    </row>
    <row r="10" spans="1:9" ht="16.5" customHeight="1" thickBot="1" x14ac:dyDescent="0.3">
      <c r="B10" s="404"/>
      <c r="C10" s="396"/>
      <c r="D10" s="396"/>
      <c r="E10" s="396"/>
      <c r="F10" s="396"/>
      <c r="G10" s="396"/>
      <c r="H10" s="396"/>
      <c r="I10" s="405"/>
    </row>
    <row r="11" spans="1:9" ht="104.25" customHeight="1" thickBot="1" x14ac:dyDescent="0.3">
      <c r="B11" s="484" t="s">
        <v>289</v>
      </c>
      <c r="C11" s="485"/>
      <c r="D11" s="485"/>
      <c r="E11" s="485"/>
      <c r="F11" s="485"/>
      <c r="G11" s="485"/>
      <c r="H11" s="485"/>
      <c r="I11" s="486"/>
    </row>
    <row r="12" spans="1:9" ht="18.75" thickBot="1" x14ac:dyDescent="0.3">
      <c r="B12" s="406"/>
      <c r="C12" s="389"/>
      <c r="D12" s="389"/>
      <c r="E12" s="389"/>
      <c r="F12" s="389"/>
      <c r="G12" s="389"/>
      <c r="H12" s="389"/>
      <c r="I12" s="407"/>
    </row>
    <row r="13" spans="1:9" ht="33" customHeight="1" thickBot="1" x14ac:dyDescent="0.3">
      <c r="B13" s="408" t="s">
        <v>108</v>
      </c>
      <c r="C13" s="389"/>
      <c r="D13" s="389"/>
      <c r="E13" s="498"/>
      <c r="F13" s="499"/>
      <c r="G13" s="499"/>
      <c r="H13" s="500"/>
      <c r="I13" s="407"/>
    </row>
    <row r="14" spans="1:9" x14ac:dyDescent="0.25">
      <c r="B14" s="409"/>
      <c r="C14" s="389"/>
      <c r="D14" s="389"/>
      <c r="E14" s="389"/>
      <c r="F14" s="389"/>
      <c r="G14" s="389"/>
      <c r="H14" s="389"/>
      <c r="I14" s="407"/>
    </row>
    <row r="15" spans="1:9" ht="15.75" customHeight="1" thickBot="1" x14ac:dyDescent="0.3">
      <c r="B15" s="410" t="s">
        <v>109</v>
      </c>
      <c r="C15" s="389"/>
      <c r="D15" s="389"/>
      <c r="E15" s="389"/>
      <c r="F15" s="389"/>
      <c r="G15" s="389"/>
      <c r="H15" s="389"/>
      <c r="I15" s="407"/>
    </row>
    <row r="16" spans="1:9" s="390" customFormat="1" ht="48.75" customHeight="1" thickBot="1" x14ac:dyDescent="0.3">
      <c r="B16" s="408" t="s">
        <v>110</v>
      </c>
      <c r="C16" s="356"/>
      <c r="D16" s="356"/>
      <c r="E16" s="498"/>
      <c r="F16" s="499"/>
      <c r="G16" s="499"/>
      <c r="H16" s="500"/>
      <c r="I16" s="411"/>
    </row>
    <row r="17" spans="2:18" ht="18.75" thickBot="1" x14ac:dyDescent="0.3">
      <c r="B17" s="409"/>
      <c r="C17" s="389"/>
      <c r="D17" s="389"/>
      <c r="E17" s="389"/>
      <c r="F17" s="389"/>
      <c r="G17" s="389"/>
      <c r="H17" s="389"/>
      <c r="I17" s="407"/>
    </row>
    <row r="18" spans="2:18" s="390" customFormat="1" ht="30" customHeight="1" thickBot="1" x14ac:dyDescent="0.3">
      <c r="B18" s="408" t="s">
        <v>111</v>
      </c>
      <c r="C18" s="356"/>
      <c r="D18" s="356"/>
      <c r="E18" s="498"/>
      <c r="F18" s="499"/>
      <c r="G18" s="499"/>
      <c r="H18" s="500"/>
      <c r="I18" s="411"/>
      <c r="L18" s="391"/>
    </row>
    <row r="19" spans="2:18" ht="15.75" customHeight="1" thickBot="1" x14ac:dyDescent="0.3">
      <c r="B19" s="409"/>
      <c r="C19" s="389"/>
      <c r="D19" s="389"/>
      <c r="E19" s="389"/>
      <c r="F19" s="389"/>
      <c r="G19" s="389"/>
      <c r="H19" s="389"/>
      <c r="I19" s="407"/>
      <c r="L19" s="390"/>
      <c r="M19" s="390"/>
      <c r="N19" s="390"/>
      <c r="O19" s="390"/>
      <c r="P19" s="390"/>
    </row>
    <row r="20" spans="2:18" s="390" customFormat="1" ht="30" customHeight="1" thickBot="1" x14ac:dyDescent="0.3">
      <c r="B20" s="408" t="s">
        <v>112</v>
      </c>
      <c r="C20" s="356"/>
      <c r="D20" s="356"/>
      <c r="E20" s="498"/>
      <c r="F20" s="499"/>
      <c r="G20" s="499"/>
      <c r="H20" s="500"/>
      <c r="I20" s="411"/>
    </row>
    <row r="21" spans="2:18" ht="15.75" customHeight="1" thickBot="1" x14ac:dyDescent="0.3">
      <c r="B21" s="409"/>
      <c r="C21" s="389"/>
      <c r="D21" s="389"/>
      <c r="E21" s="389"/>
      <c r="F21" s="389"/>
      <c r="G21" s="389"/>
      <c r="H21" s="389"/>
      <c r="I21" s="407"/>
      <c r="L21" s="390"/>
      <c r="M21" s="390"/>
      <c r="N21" s="390"/>
      <c r="O21" s="390"/>
      <c r="P21" s="390"/>
    </row>
    <row r="22" spans="2:18" s="390" customFormat="1" ht="55.5" customHeight="1" thickBot="1" x14ac:dyDescent="0.3">
      <c r="B22" s="408" t="s">
        <v>113</v>
      </c>
      <c r="C22" s="356"/>
      <c r="D22" s="356"/>
      <c r="E22" s="498"/>
      <c r="F22" s="499"/>
      <c r="G22" s="499"/>
      <c r="H22" s="500"/>
      <c r="I22" s="411"/>
    </row>
    <row r="23" spans="2:18" ht="15.75" customHeight="1" thickBot="1" x14ac:dyDescent="0.3">
      <c r="B23" s="409"/>
      <c r="C23" s="389"/>
      <c r="D23" s="389"/>
      <c r="E23" s="389"/>
      <c r="F23" s="389"/>
      <c r="G23" s="389"/>
      <c r="H23" s="389"/>
      <c r="I23" s="407"/>
      <c r="L23" s="390"/>
      <c r="M23" s="390"/>
      <c r="N23" s="390"/>
      <c r="O23" s="390"/>
      <c r="P23" s="390"/>
    </row>
    <row r="24" spans="2:18" s="390" customFormat="1" ht="30" customHeight="1" thickBot="1" x14ac:dyDescent="0.3">
      <c r="B24" s="408" t="s">
        <v>114</v>
      </c>
      <c r="C24" s="356"/>
      <c r="D24" s="356"/>
      <c r="E24" s="498"/>
      <c r="F24" s="499"/>
      <c r="G24" s="499"/>
      <c r="H24" s="500"/>
      <c r="I24" s="411"/>
    </row>
    <row r="25" spans="2:18" ht="15.75" customHeight="1" thickBot="1" x14ac:dyDescent="0.3">
      <c r="B25" s="409"/>
      <c r="C25" s="389"/>
      <c r="D25" s="389"/>
      <c r="E25" s="389"/>
      <c r="F25" s="389"/>
      <c r="G25" s="389"/>
      <c r="H25" s="389"/>
      <c r="I25" s="407"/>
      <c r="L25" s="390"/>
      <c r="M25" s="390"/>
      <c r="N25" s="390"/>
      <c r="O25" s="390"/>
      <c r="P25" s="390"/>
    </row>
    <row r="26" spans="2:18" s="390" customFormat="1" ht="30" customHeight="1" thickBot="1" x14ac:dyDescent="0.3">
      <c r="B26" s="408" t="s">
        <v>115</v>
      </c>
      <c r="C26" s="356"/>
      <c r="D26" s="356"/>
      <c r="E26" s="498"/>
      <c r="F26" s="499"/>
      <c r="G26" s="499"/>
      <c r="H26" s="500"/>
      <c r="I26" s="411"/>
    </row>
    <row r="27" spans="2:18" ht="18.75" thickBot="1" x14ac:dyDescent="0.3">
      <c r="B27" s="409"/>
      <c r="C27" s="389"/>
      <c r="D27" s="389"/>
      <c r="E27" s="389"/>
      <c r="F27" s="389"/>
      <c r="G27" s="389"/>
      <c r="H27" s="389"/>
      <c r="I27" s="407"/>
    </row>
    <row r="28" spans="2:18" s="390" customFormat="1" ht="30" customHeight="1" thickBot="1" x14ac:dyDescent="0.3">
      <c r="B28" s="408" t="s">
        <v>116</v>
      </c>
      <c r="C28" s="356"/>
      <c r="D28" s="356"/>
      <c r="E28" s="501"/>
      <c r="F28" s="502"/>
      <c r="G28" s="502"/>
      <c r="H28" s="503"/>
      <c r="I28" s="411"/>
    </row>
    <row r="29" spans="2:18" s="390" customFormat="1" ht="30" customHeight="1" thickBot="1" x14ac:dyDescent="0.3">
      <c r="B29" s="408"/>
      <c r="C29" s="356"/>
      <c r="D29" s="356"/>
      <c r="E29" s="392"/>
      <c r="F29" s="392"/>
      <c r="G29" s="392"/>
      <c r="H29" s="392"/>
      <c r="I29" s="411"/>
      <c r="L29" s="487" t="s">
        <v>291</v>
      </c>
      <c r="M29" s="487"/>
      <c r="N29" s="487"/>
      <c r="O29" s="487"/>
      <c r="P29" s="487"/>
      <c r="Q29" s="487"/>
      <c r="R29" s="487"/>
    </row>
    <row r="30" spans="2:18" s="390" customFormat="1" ht="30" customHeight="1" thickBot="1" x14ac:dyDescent="0.3">
      <c r="B30" s="408" t="s">
        <v>238</v>
      </c>
      <c r="C30" s="356"/>
      <c r="D30" s="356"/>
      <c r="E30" s="498"/>
      <c r="F30" s="499"/>
      <c r="G30" s="499"/>
      <c r="H30" s="500"/>
      <c r="I30" s="411"/>
      <c r="L30" s="487"/>
      <c r="M30" s="487"/>
      <c r="N30" s="487"/>
      <c r="O30" s="487"/>
      <c r="P30" s="487"/>
      <c r="Q30" s="487"/>
      <c r="R30" s="487"/>
    </row>
    <row r="31" spans="2:18" s="390" customFormat="1" ht="30" customHeight="1" thickBot="1" x14ac:dyDescent="0.3">
      <c r="B31" s="408"/>
      <c r="C31" s="356"/>
      <c r="D31" s="356"/>
      <c r="E31" s="392"/>
      <c r="F31" s="392"/>
      <c r="G31" s="392"/>
      <c r="H31" s="392"/>
      <c r="I31" s="411"/>
      <c r="L31" s="487"/>
      <c r="M31" s="487"/>
      <c r="N31" s="487"/>
      <c r="O31" s="487"/>
      <c r="P31" s="487"/>
      <c r="Q31" s="487"/>
      <c r="R31" s="487"/>
    </row>
    <row r="32" spans="2:18" s="390" customFormat="1" ht="30" customHeight="1" thickBot="1" x14ac:dyDescent="0.3">
      <c r="B32" s="408" t="s">
        <v>239</v>
      </c>
      <c r="C32" s="356"/>
      <c r="D32" s="356"/>
      <c r="E32" s="498"/>
      <c r="F32" s="499"/>
      <c r="G32" s="499"/>
      <c r="H32" s="500"/>
      <c r="I32" s="411"/>
      <c r="L32" s="487"/>
      <c r="M32" s="487"/>
      <c r="N32" s="487"/>
      <c r="O32" s="487"/>
      <c r="P32" s="487"/>
      <c r="Q32" s="487"/>
      <c r="R32" s="487"/>
    </row>
    <row r="33" spans="2:18" s="390" customFormat="1" ht="30" customHeight="1" x14ac:dyDescent="0.25">
      <c r="B33" s="408"/>
      <c r="C33" s="356"/>
      <c r="D33" s="356"/>
      <c r="E33" s="392"/>
      <c r="F33" s="392"/>
      <c r="G33" s="392"/>
      <c r="H33" s="392"/>
      <c r="I33" s="411"/>
      <c r="L33" s="487"/>
      <c r="M33" s="487"/>
      <c r="N33" s="487"/>
      <c r="O33" s="487"/>
      <c r="P33" s="487"/>
      <c r="Q33" s="487"/>
      <c r="R33" s="487"/>
    </row>
    <row r="34" spans="2:18" s="390" customFormat="1" ht="30" customHeight="1" thickBot="1" x14ac:dyDescent="0.3">
      <c r="B34" s="408"/>
      <c r="C34" s="356"/>
      <c r="D34" s="356"/>
      <c r="E34" s="392"/>
      <c r="F34" s="392"/>
      <c r="G34" s="392"/>
      <c r="H34" s="392"/>
      <c r="I34" s="411"/>
      <c r="L34" s="487"/>
      <c r="M34" s="487"/>
      <c r="N34" s="487"/>
      <c r="O34" s="487"/>
      <c r="P34" s="487"/>
      <c r="Q34" s="487"/>
      <c r="R34" s="487"/>
    </row>
    <row r="35" spans="2:18" s="390" customFormat="1" ht="30" customHeight="1" thickBot="1" x14ac:dyDescent="0.3">
      <c r="B35" s="408" t="s">
        <v>117</v>
      </c>
      <c r="C35" s="356"/>
      <c r="D35" s="356"/>
      <c r="E35" s="393"/>
      <c r="F35" s="472" t="s">
        <v>118</v>
      </c>
      <c r="G35" s="473"/>
      <c r="H35" s="474"/>
      <c r="I35" s="411"/>
      <c r="L35" s="487"/>
      <c r="M35" s="487"/>
      <c r="N35" s="487"/>
      <c r="O35" s="487"/>
      <c r="P35" s="487"/>
      <c r="Q35" s="487"/>
      <c r="R35" s="487"/>
    </row>
    <row r="36" spans="2:18" s="390" customFormat="1" ht="30" customHeight="1" thickBot="1" x14ac:dyDescent="0.3">
      <c r="B36" s="408" t="s">
        <v>119</v>
      </c>
      <c r="C36" s="356"/>
      <c r="D36" s="356"/>
      <c r="E36" s="393"/>
      <c r="F36" s="472" t="s">
        <v>120</v>
      </c>
      <c r="G36" s="473"/>
      <c r="H36" s="474"/>
      <c r="I36" s="411"/>
      <c r="L36" s="487"/>
      <c r="M36" s="487"/>
      <c r="N36" s="487"/>
      <c r="O36" s="487"/>
      <c r="P36" s="487"/>
      <c r="Q36" s="487"/>
      <c r="R36" s="487"/>
    </row>
    <row r="37" spans="2:18" s="390" customFormat="1" ht="30" customHeight="1" thickBot="1" x14ac:dyDescent="0.3">
      <c r="B37" s="408"/>
      <c r="C37" s="356"/>
      <c r="D37" s="356"/>
      <c r="E37" s="393"/>
      <c r="F37" s="472" t="s">
        <v>121</v>
      </c>
      <c r="G37" s="473"/>
      <c r="H37" s="474"/>
      <c r="I37" s="412"/>
      <c r="L37" s="487"/>
      <c r="M37" s="487"/>
      <c r="N37" s="487"/>
      <c r="O37" s="487"/>
      <c r="P37" s="487"/>
      <c r="Q37" s="487"/>
      <c r="R37" s="487"/>
    </row>
    <row r="38" spans="2:18" s="390" customFormat="1" ht="30" customHeight="1" thickBot="1" x14ac:dyDescent="0.3">
      <c r="B38" s="408"/>
      <c r="C38" s="356"/>
      <c r="D38" s="356"/>
      <c r="E38" s="393"/>
      <c r="F38" s="472" t="s">
        <v>122</v>
      </c>
      <c r="G38" s="473"/>
      <c r="H38" s="474"/>
      <c r="I38" s="412"/>
      <c r="L38" s="487"/>
      <c r="M38" s="487"/>
      <c r="N38" s="487"/>
      <c r="O38" s="487"/>
      <c r="P38" s="487"/>
      <c r="Q38" s="487"/>
      <c r="R38" s="487"/>
    </row>
    <row r="39" spans="2:18" s="390" customFormat="1" ht="30" customHeight="1" thickBot="1" x14ac:dyDescent="0.3">
      <c r="B39" s="408"/>
      <c r="C39" s="356"/>
      <c r="D39" s="356"/>
      <c r="E39" s="394"/>
      <c r="F39" s="472" t="s">
        <v>123</v>
      </c>
      <c r="G39" s="473"/>
      <c r="H39" s="474"/>
      <c r="I39" s="411"/>
      <c r="L39" s="487"/>
      <c r="M39" s="487"/>
      <c r="N39" s="487"/>
      <c r="O39" s="487"/>
      <c r="P39" s="487"/>
      <c r="Q39" s="487"/>
      <c r="R39" s="487"/>
    </row>
    <row r="40" spans="2:18" s="390" customFormat="1" ht="30" customHeight="1" thickBot="1" x14ac:dyDescent="0.3">
      <c r="B40" s="408"/>
      <c r="C40" s="356"/>
      <c r="D40" s="356"/>
      <c r="E40" s="394"/>
      <c r="F40" s="472" t="s">
        <v>124</v>
      </c>
      <c r="G40" s="473"/>
      <c r="H40" s="474"/>
      <c r="I40" s="411"/>
      <c r="L40" s="487"/>
      <c r="M40" s="487"/>
      <c r="N40" s="487"/>
      <c r="O40" s="487"/>
      <c r="P40" s="487"/>
      <c r="Q40" s="487"/>
      <c r="R40" s="487"/>
    </row>
    <row r="41" spans="2:18" s="390" customFormat="1" ht="30" customHeight="1" thickBot="1" x14ac:dyDescent="0.3">
      <c r="B41" s="408"/>
      <c r="C41" s="356"/>
      <c r="D41" s="356"/>
      <c r="E41" s="394"/>
      <c r="F41" s="472" t="s">
        <v>125</v>
      </c>
      <c r="G41" s="473"/>
      <c r="H41" s="474"/>
      <c r="I41" s="411"/>
      <c r="L41" s="487"/>
      <c r="M41" s="487"/>
      <c r="N41" s="487"/>
      <c r="O41" s="487"/>
      <c r="P41" s="487"/>
      <c r="Q41" s="487"/>
      <c r="R41" s="487"/>
    </row>
    <row r="42" spans="2:18" s="390" customFormat="1" ht="30" customHeight="1" thickBot="1" x14ac:dyDescent="0.3">
      <c r="B42" s="408"/>
      <c r="C42" s="356"/>
      <c r="D42" s="356"/>
      <c r="E42" s="394"/>
      <c r="F42" s="472" t="s">
        <v>126</v>
      </c>
      <c r="G42" s="473"/>
      <c r="H42" s="474"/>
      <c r="I42" s="411"/>
      <c r="L42" s="487"/>
      <c r="M42" s="487"/>
      <c r="N42" s="487"/>
      <c r="O42" s="487"/>
      <c r="P42" s="487"/>
      <c r="Q42" s="487"/>
      <c r="R42" s="487"/>
    </row>
    <row r="43" spans="2:18" s="390" customFormat="1" ht="30" customHeight="1" thickBot="1" x14ac:dyDescent="0.3">
      <c r="B43" s="408"/>
      <c r="C43" s="356"/>
      <c r="D43" s="356"/>
      <c r="E43" s="394"/>
      <c r="F43" s="472" t="s">
        <v>127</v>
      </c>
      <c r="G43" s="473"/>
      <c r="H43" s="474"/>
      <c r="I43" s="411"/>
      <c r="L43" s="487"/>
      <c r="M43" s="487"/>
      <c r="N43" s="487"/>
      <c r="O43" s="487"/>
      <c r="P43" s="487"/>
      <c r="Q43" s="487"/>
      <c r="R43" s="487"/>
    </row>
    <row r="44" spans="2:18" s="390" customFormat="1" ht="30" customHeight="1" thickBot="1" x14ac:dyDescent="0.3">
      <c r="B44" s="408"/>
      <c r="C44" s="356"/>
      <c r="D44" s="356"/>
      <c r="E44" s="394"/>
      <c r="F44" s="472" t="s">
        <v>128</v>
      </c>
      <c r="G44" s="473"/>
      <c r="H44" s="474"/>
      <c r="I44" s="411"/>
      <c r="L44" s="487"/>
      <c r="M44" s="487"/>
      <c r="N44" s="487"/>
      <c r="O44" s="487"/>
      <c r="P44" s="487"/>
      <c r="Q44" s="487"/>
      <c r="R44" s="487"/>
    </row>
    <row r="45" spans="2:18" s="390" customFormat="1" ht="30" customHeight="1" x14ac:dyDescent="0.25">
      <c r="B45" s="408"/>
      <c r="C45" s="356"/>
      <c r="D45" s="356"/>
      <c r="E45" s="464"/>
      <c r="F45" s="466" t="s">
        <v>129</v>
      </c>
      <c r="G45" s="467"/>
      <c r="H45" s="468"/>
      <c r="I45" s="411"/>
      <c r="L45" s="487"/>
      <c r="M45" s="487"/>
      <c r="N45" s="487"/>
      <c r="O45" s="487"/>
      <c r="P45" s="487"/>
      <c r="Q45" s="487"/>
      <c r="R45" s="487"/>
    </row>
    <row r="46" spans="2:18" s="390" customFormat="1" ht="30" customHeight="1" thickBot="1" x14ac:dyDescent="0.3">
      <c r="B46" s="408"/>
      <c r="C46" s="356"/>
      <c r="D46" s="356"/>
      <c r="E46" s="465"/>
      <c r="F46" s="469"/>
      <c r="G46" s="470"/>
      <c r="H46" s="471"/>
      <c r="I46" s="411"/>
      <c r="L46" s="487"/>
      <c r="M46" s="487"/>
      <c r="N46" s="487"/>
      <c r="O46" s="487"/>
      <c r="P46" s="487"/>
      <c r="Q46" s="487"/>
      <c r="R46" s="487"/>
    </row>
    <row r="47" spans="2:18" s="390" customFormat="1" ht="30" customHeight="1" thickBot="1" x14ac:dyDescent="0.3">
      <c r="B47" s="408"/>
      <c r="C47" s="356"/>
      <c r="D47" s="356"/>
      <c r="E47" s="395"/>
      <c r="F47" s="392"/>
      <c r="G47" s="392"/>
      <c r="H47" s="392"/>
      <c r="I47" s="411"/>
      <c r="L47" s="487"/>
      <c r="M47" s="487"/>
      <c r="N47" s="487"/>
      <c r="O47" s="487"/>
      <c r="P47" s="487"/>
      <c r="Q47" s="487"/>
      <c r="R47" s="487"/>
    </row>
    <row r="48" spans="2:18" s="390" customFormat="1" ht="30" customHeight="1" thickBot="1" x14ac:dyDescent="0.3">
      <c r="B48" s="408" t="s">
        <v>130</v>
      </c>
      <c r="C48" s="356"/>
      <c r="D48" s="356"/>
      <c r="E48" s="393"/>
      <c r="F48" s="472" t="s">
        <v>120</v>
      </c>
      <c r="G48" s="473"/>
      <c r="H48" s="474"/>
      <c r="I48" s="411"/>
      <c r="L48" s="487"/>
      <c r="M48" s="487"/>
      <c r="N48" s="487"/>
      <c r="O48" s="487"/>
      <c r="P48" s="487"/>
      <c r="Q48" s="487"/>
      <c r="R48" s="487"/>
    </row>
    <row r="49" spans="2:18" s="390" customFormat="1" ht="30" customHeight="1" thickBot="1" x14ac:dyDescent="0.3">
      <c r="B49" s="408" t="s">
        <v>119</v>
      </c>
      <c r="C49" s="356"/>
      <c r="D49" s="356"/>
      <c r="E49" s="393"/>
      <c r="F49" s="472" t="s">
        <v>131</v>
      </c>
      <c r="G49" s="473"/>
      <c r="H49" s="474"/>
      <c r="I49" s="411"/>
      <c r="L49" s="487"/>
      <c r="M49" s="487"/>
      <c r="N49" s="487"/>
      <c r="O49" s="487"/>
      <c r="P49" s="487"/>
      <c r="Q49" s="487"/>
      <c r="R49" s="487"/>
    </row>
    <row r="50" spans="2:18" s="390" customFormat="1" ht="30" customHeight="1" thickBot="1" x14ac:dyDescent="0.3">
      <c r="B50" s="408"/>
      <c r="C50" s="356"/>
      <c r="D50" s="356"/>
      <c r="E50" s="393"/>
      <c r="F50" s="472" t="s">
        <v>132</v>
      </c>
      <c r="G50" s="473"/>
      <c r="H50" s="474"/>
      <c r="I50" s="411"/>
      <c r="O50" s="1"/>
      <c r="P50" s="1"/>
    </row>
    <row r="51" spans="2:18" s="390" customFormat="1" ht="30" customHeight="1" x14ac:dyDescent="0.25">
      <c r="B51" s="408"/>
      <c r="C51" s="356"/>
      <c r="D51" s="356"/>
      <c r="E51" s="464"/>
      <c r="F51" s="466" t="s">
        <v>133</v>
      </c>
      <c r="G51" s="467"/>
      <c r="H51" s="468"/>
      <c r="I51" s="411"/>
      <c r="O51" s="1"/>
      <c r="P51" s="1"/>
    </row>
    <row r="52" spans="2:18" s="390" customFormat="1" ht="30" customHeight="1" thickBot="1" x14ac:dyDescent="0.3">
      <c r="B52" s="408"/>
      <c r="C52" s="356"/>
      <c r="D52" s="356"/>
      <c r="E52" s="465"/>
      <c r="F52" s="475"/>
      <c r="G52" s="476"/>
      <c r="H52" s="477"/>
      <c r="I52" s="411"/>
      <c r="O52" s="1"/>
      <c r="P52" s="1"/>
    </row>
    <row r="53" spans="2:18" s="390" customFormat="1" ht="30" customHeight="1" x14ac:dyDescent="0.25">
      <c r="B53" s="408"/>
      <c r="C53" s="356"/>
      <c r="D53" s="356"/>
      <c r="E53" s="395"/>
      <c r="F53" s="392"/>
      <c r="G53" s="392"/>
      <c r="H53" s="392"/>
      <c r="I53" s="411"/>
      <c r="O53" s="1"/>
      <c r="P53" s="1"/>
    </row>
    <row r="54" spans="2:18" s="390" customFormat="1" ht="30" customHeight="1" x14ac:dyDescent="0.25">
      <c r="B54" s="408" t="s">
        <v>134</v>
      </c>
      <c r="C54" s="356"/>
      <c r="D54" s="356"/>
      <c r="E54" s="395"/>
      <c r="F54" s="392"/>
      <c r="G54" s="392"/>
      <c r="H54" s="392"/>
      <c r="I54" s="411"/>
      <c r="L54" s="1"/>
      <c r="M54" s="1"/>
      <c r="O54" s="1"/>
      <c r="P54" s="1"/>
    </row>
    <row r="55" spans="2:18" s="390" customFormat="1" ht="30" customHeight="1" x14ac:dyDescent="0.25">
      <c r="B55" s="408" t="s">
        <v>135</v>
      </c>
      <c r="C55" s="356"/>
      <c r="D55" s="356"/>
      <c r="E55" s="395"/>
      <c r="F55" s="392"/>
      <c r="G55" s="392"/>
      <c r="H55" s="392"/>
      <c r="I55" s="411"/>
      <c r="L55" s="1"/>
      <c r="M55" s="1"/>
      <c r="O55" s="1"/>
      <c r="P55" s="1"/>
    </row>
    <row r="56" spans="2:18" s="390" customFormat="1" ht="15.75" customHeight="1" thickBot="1" x14ac:dyDescent="0.3">
      <c r="B56" s="408"/>
      <c r="C56" s="356"/>
      <c r="D56" s="356"/>
      <c r="E56" s="395"/>
      <c r="F56" s="392"/>
      <c r="G56" s="392"/>
      <c r="H56" s="392"/>
      <c r="I56" s="411"/>
      <c r="L56" s="1"/>
      <c r="M56" s="1"/>
      <c r="O56" s="1"/>
      <c r="P56" s="1"/>
    </row>
    <row r="57" spans="2:18" s="390" customFormat="1" ht="30" customHeight="1" thickBot="1" x14ac:dyDescent="0.3">
      <c r="B57" s="478" t="s">
        <v>136</v>
      </c>
      <c r="C57" s="479"/>
      <c r="D57" s="480"/>
      <c r="E57" s="481"/>
      <c r="F57" s="482"/>
      <c r="G57" s="482"/>
      <c r="H57" s="483"/>
      <c r="I57" s="411"/>
      <c r="L57" s="1"/>
      <c r="M57" s="1"/>
      <c r="O57" s="1"/>
      <c r="P57" s="1"/>
    </row>
    <row r="58" spans="2:18" ht="18.75" thickBot="1" x14ac:dyDescent="0.3">
      <c r="B58" s="400"/>
      <c r="C58" s="401"/>
      <c r="D58" s="401"/>
      <c r="E58" s="401"/>
      <c r="F58" s="403"/>
      <c r="G58" s="401"/>
      <c r="H58" s="401"/>
      <c r="I58" s="402"/>
    </row>
    <row r="59" spans="2:18" x14ac:dyDescent="0.25">
      <c r="B59" s="406"/>
      <c r="C59" s="389"/>
      <c r="D59" s="389"/>
      <c r="E59" s="389"/>
      <c r="F59" s="389"/>
      <c r="G59" s="389"/>
      <c r="H59" s="389"/>
      <c r="I59" s="407"/>
    </row>
    <row r="60" spans="2:18" x14ac:dyDescent="0.25">
      <c r="B60" s="413" t="s">
        <v>290</v>
      </c>
      <c r="C60" s="389"/>
      <c r="D60" s="389"/>
      <c r="E60" s="389"/>
      <c r="F60" s="389"/>
      <c r="G60" s="389"/>
      <c r="H60" s="389"/>
      <c r="I60" s="407"/>
    </row>
    <row r="61" spans="2:18" x14ac:dyDescent="0.25">
      <c r="B61" s="406"/>
      <c r="C61" s="389"/>
      <c r="D61" s="389"/>
      <c r="E61" s="389"/>
      <c r="F61" s="389"/>
      <c r="G61" s="389"/>
      <c r="H61" s="389"/>
      <c r="I61" s="407"/>
    </row>
    <row r="62" spans="2:18" x14ac:dyDescent="0.25">
      <c r="B62" s="414" t="s">
        <v>305</v>
      </c>
      <c r="C62" s="397" t="s">
        <v>292</v>
      </c>
      <c r="D62" s="389"/>
      <c r="E62" s="389"/>
      <c r="F62" s="415"/>
      <c r="G62" s="398"/>
      <c r="H62" s="389"/>
      <c r="I62" s="407"/>
    </row>
    <row r="63" spans="2:18" x14ac:dyDescent="0.25">
      <c r="B63" s="406"/>
      <c r="C63" s="397" t="s">
        <v>293</v>
      </c>
      <c r="D63" s="389"/>
      <c r="E63" s="389"/>
      <c r="F63" s="389"/>
      <c r="G63" s="397"/>
      <c r="H63" s="389"/>
      <c r="I63" s="389"/>
    </row>
    <row r="64" spans="2:18" x14ac:dyDescent="0.25">
      <c r="B64" s="406"/>
      <c r="C64" s="399" t="s">
        <v>294</v>
      </c>
      <c r="D64" s="389"/>
      <c r="E64" s="389"/>
      <c r="F64" s="389"/>
      <c r="G64" s="399"/>
      <c r="H64" s="389"/>
      <c r="I64" s="389"/>
    </row>
    <row r="65" spans="2:9" x14ac:dyDescent="0.25">
      <c r="B65" s="406"/>
      <c r="C65" s="389"/>
      <c r="D65" s="389"/>
      <c r="E65" s="389"/>
      <c r="F65" s="389"/>
      <c r="G65" s="389"/>
      <c r="H65" s="389"/>
      <c r="I65" s="389"/>
    </row>
    <row r="66" spans="2:9" x14ac:dyDescent="0.25">
      <c r="B66" s="414" t="s">
        <v>304</v>
      </c>
      <c r="C66" s="398" t="s">
        <v>307</v>
      </c>
      <c r="D66" s="389"/>
      <c r="E66" s="389"/>
      <c r="F66" s="389"/>
      <c r="G66" s="389"/>
      <c r="H66" s="389"/>
      <c r="I66" s="389"/>
    </row>
    <row r="67" spans="2:9" x14ac:dyDescent="0.25">
      <c r="B67" s="406"/>
      <c r="C67" s="397" t="s">
        <v>302</v>
      </c>
      <c r="D67" s="389"/>
      <c r="E67" s="389"/>
      <c r="F67" s="389"/>
      <c r="G67" s="389"/>
      <c r="H67" s="389"/>
      <c r="I67" s="389"/>
    </row>
    <row r="68" spans="2:9" ht="18.75" x14ac:dyDescent="0.3">
      <c r="B68" s="406"/>
      <c r="C68" s="458" t="s">
        <v>295</v>
      </c>
      <c r="D68" s="389"/>
      <c r="E68" s="389"/>
      <c r="F68" s="389"/>
      <c r="G68" s="389"/>
      <c r="H68" s="389"/>
      <c r="I68" s="389"/>
    </row>
    <row r="69" spans="2:9" x14ac:dyDescent="0.25">
      <c r="B69" s="406"/>
      <c r="C69" s="399"/>
      <c r="D69" s="389"/>
      <c r="E69" s="389"/>
      <c r="F69" s="389"/>
      <c r="G69" s="389"/>
      <c r="H69" s="389"/>
      <c r="I69" s="389"/>
    </row>
    <row r="70" spans="2:9" x14ac:dyDescent="0.25">
      <c r="B70" s="414" t="s">
        <v>303</v>
      </c>
      <c r="C70" s="397" t="s">
        <v>306</v>
      </c>
      <c r="D70" s="389"/>
      <c r="E70" s="389"/>
      <c r="F70" s="389"/>
      <c r="G70" s="389"/>
      <c r="H70" s="389"/>
      <c r="I70" s="389"/>
    </row>
    <row r="71" spans="2:9" x14ac:dyDescent="0.25">
      <c r="B71" s="406"/>
      <c r="C71" s="397" t="s">
        <v>308</v>
      </c>
      <c r="D71" s="389"/>
      <c r="E71" s="389"/>
      <c r="F71" s="389"/>
      <c r="G71" s="389"/>
      <c r="H71" s="389"/>
      <c r="I71" s="389"/>
    </row>
    <row r="72" spans="2:9" ht="18.75" x14ac:dyDescent="0.3">
      <c r="B72" s="406"/>
      <c r="C72" s="458" t="s">
        <v>310</v>
      </c>
      <c r="D72" s="389"/>
      <c r="E72" s="389"/>
      <c r="F72" s="389"/>
      <c r="G72" s="389"/>
      <c r="H72" s="389"/>
      <c r="I72" s="389"/>
    </row>
    <row r="73" spans="2:9" x14ac:dyDescent="0.25">
      <c r="B73" s="389"/>
      <c r="C73" s="389"/>
      <c r="D73" s="389"/>
      <c r="E73" s="389"/>
      <c r="F73" s="389"/>
      <c r="G73" s="389"/>
      <c r="H73" s="389"/>
      <c r="I73" s="389"/>
    </row>
  </sheetData>
  <sheetProtection sheet="1" objects="1" scenarios="1"/>
  <protectedRanges>
    <protectedRange sqref="E13 E16 E18 E20 E22 E24 E26 E28 E30 E32 E35:E46 E48:E52 E57" name="Range1"/>
  </protectedRanges>
  <mergeCells count="36">
    <mergeCell ref="B11:I11"/>
    <mergeCell ref="L29:R49"/>
    <mergeCell ref="B2:I7"/>
    <mergeCell ref="B8:I8"/>
    <mergeCell ref="B9:I9"/>
    <mergeCell ref="E13:H13"/>
    <mergeCell ref="E16:H16"/>
    <mergeCell ref="E18:H18"/>
    <mergeCell ref="E20:H20"/>
    <mergeCell ref="E22:H22"/>
    <mergeCell ref="E24:H24"/>
    <mergeCell ref="E26:H26"/>
    <mergeCell ref="E28:H28"/>
    <mergeCell ref="E30:H30"/>
    <mergeCell ref="E32:H32"/>
    <mergeCell ref="F35:H35"/>
    <mergeCell ref="F36:H36"/>
    <mergeCell ref="F37:H37"/>
    <mergeCell ref="F38:H38"/>
    <mergeCell ref="F50:H50"/>
    <mergeCell ref="F39:H39"/>
    <mergeCell ref="F40:H40"/>
    <mergeCell ref="F41:H41"/>
    <mergeCell ref="F42:H42"/>
    <mergeCell ref="F43:H43"/>
    <mergeCell ref="F44:H44"/>
    <mergeCell ref="E51:E52"/>
    <mergeCell ref="F51:H51"/>
    <mergeCell ref="F52:H52"/>
    <mergeCell ref="B57:D57"/>
    <mergeCell ref="E57:H57"/>
    <mergeCell ref="E45:E46"/>
    <mergeCell ref="F45:H45"/>
    <mergeCell ref="F46:H46"/>
    <mergeCell ref="F48:H48"/>
    <mergeCell ref="F49:H49"/>
  </mergeCells>
  <hyperlinks>
    <hyperlink ref="C72" r:id="rId1" xr:uid="{EA8E7B89-4B20-4BBF-85FC-4DBE2978FEA8}"/>
    <hyperlink ref="C68" r:id="rId2" xr:uid="{C206CAF5-3102-47E2-B468-73D2937322FC}"/>
    <hyperlink ref="C64" r:id="rId3" xr:uid="{00000000-0004-0000-0000-000000000000}"/>
  </hyperlinks>
  <pageMargins left="0.7" right="0.7" top="0.75" bottom="0.75" header="0.3" footer="0.3"/>
  <pageSetup paperSize="9" scale="37" orientation="portrait" r:id="rId4"/>
  <colBreaks count="1" manualBreakCount="1">
    <brk id="10" max="1048575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2:P156"/>
  <sheetViews>
    <sheetView topLeftCell="A98" zoomScale="55" zoomScaleNormal="55" workbookViewId="0">
      <selection activeCell="B106" sqref="B106:J106"/>
    </sheetView>
  </sheetViews>
  <sheetFormatPr defaultColWidth="11.42578125" defaultRowHeight="15" x14ac:dyDescent="0.2"/>
  <cols>
    <col min="1" max="1" width="3.7109375" style="17" customWidth="1"/>
    <col min="2" max="2" width="5.28515625" style="25" customWidth="1"/>
    <col min="3" max="3" width="41.140625" style="17" customWidth="1"/>
    <col min="4" max="4" width="51.85546875" style="17" customWidth="1"/>
    <col min="5" max="5" width="20.5703125" style="17" customWidth="1"/>
    <col min="6" max="6" width="18.5703125" style="17" customWidth="1"/>
    <col min="7" max="7" width="18" style="17" customWidth="1"/>
    <col min="8" max="8" width="18.7109375" style="19" bestFit="1" customWidth="1"/>
    <col min="9" max="9" width="18" style="25" customWidth="1"/>
    <col min="10" max="10" width="20.5703125" style="25" customWidth="1"/>
    <col min="11" max="16" width="11.42578125" style="17" hidden="1" customWidth="1"/>
    <col min="17" max="16384" width="11.42578125" style="17"/>
  </cols>
  <sheetData>
    <row r="2" spans="2:16" s="25" customFormat="1" ht="27" customHeight="1" x14ac:dyDescent="0.25">
      <c r="B2" s="532" t="s">
        <v>97</v>
      </c>
      <c r="C2" s="532"/>
      <c r="D2" s="532"/>
      <c r="E2" s="532"/>
      <c r="F2" s="532"/>
      <c r="G2" s="532"/>
      <c r="H2" s="532"/>
      <c r="I2" s="532"/>
      <c r="J2" s="532"/>
    </row>
    <row r="3" spans="2:16" s="25" customFormat="1" ht="27" customHeight="1" x14ac:dyDescent="0.25">
      <c r="B3" s="532" t="s">
        <v>146</v>
      </c>
      <c r="C3" s="532"/>
      <c r="D3" s="532"/>
      <c r="E3" s="532"/>
      <c r="F3" s="532"/>
      <c r="G3" s="532"/>
      <c r="H3" s="532"/>
      <c r="I3" s="532"/>
      <c r="J3" s="532"/>
    </row>
    <row r="4" spans="2:16" s="25" customFormat="1" ht="14.25" customHeight="1" thickBot="1" x14ac:dyDescent="0.3">
      <c r="B4" s="31"/>
      <c r="C4" s="31"/>
      <c r="D4" s="31"/>
      <c r="E4" s="31"/>
      <c r="F4" s="31"/>
      <c r="G4" s="31"/>
      <c r="H4" s="31"/>
      <c r="I4" s="31"/>
      <c r="J4" s="31"/>
    </row>
    <row r="5" spans="2:16" s="25" customFormat="1" ht="45" customHeight="1" thickBot="1" x14ac:dyDescent="0.3">
      <c r="B5" s="536" t="s">
        <v>301</v>
      </c>
      <c r="C5" s="537"/>
      <c r="D5" s="537"/>
      <c r="E5" s="537"/>
      <c r="F5" s="537"/>
      <c r="G5" s="537"/>
      <c r="H5" s="537"/>
      <c r="I5" s="538"/>
      <c r="J5" s="173"/>
    </row>
    <row r="6" spans="2:16" s="25" customFormat="1" ht="14.25" customHeight="1" thickBot="1" x14ac:dyDescent="0.3">
      <c r="B6" s="31"/>
      <c r="C6" s="31"/>
      <c r="D6" s="31"/>
      <c r="E6" s="31"/>
      <c r="F6" s="31"/>
      <c r="G6" s="31"/>
      <c r="H6" s="31"/>
      <c r="I6" s="31"/>
      <c r="J6" s="31"/>
    </row>
    <row r="7" spans="2:16" ht="57.75" customHeight="1" thickBot="1" x14ac:dyDescent="0.25">
      <c r="B7" s="523" t="s">
        <v>79</v>
      </c>
      <c r="C7" s="547"/>
      <c r="D7" s="547"/>
      <c r="E7" s="547"/>
      <c r="F7" s="547"/>
      <c r="G7" s="547"/>
      <c r="H7" s="547"/>
      <c r="I7" s="547"/>
      <c r="J7" s="548"/>
    </row>
    <row r="8" spans="2:16" ht="36" customHeight="1" thickBot="1" x14ac:dyDescent="0.25">
      <c r="B8" s="117" t="s">
        <v>8</v>
      </c>
      <c r="C8" s="116" t="s">
        <v>10</v>
      </c>
      <c r="D8" s="117" t="s">
        <v>11</v>
      </c>
      <c r="E8" s="100">
        <v>2019</v>
      </c>
      <c r="F8" s="100">
        <v>2020</v>
      </c>
      <c r="G8" s="116">
        <v>2021</v>
      </c>
      <c r="H8" s="100">
        <v>2022</v>
      </c>
      <c r="I8" s="111">
        <v>2023</v>
      </c>
      <c r="J8" s="117" t="s">
        <v>43</v>
      </c>
    </row>
    <row r="9" spans="2:16" ht="57.75" customHeight="1" x14ac:dyDescent="0.2">
      <c r="B9" s="542">
        <v>1</v>
      </c>
      <c r="C9" s="549" t="s">
        <v>183</v>
      </c>
      <c r="D9" s="332" t="s">
        <v>222</v>
      </c>
      <c r="E9" s="88">
        <f>SUM(E10:E13)</f>
        <v>0</v>
      </c>
      <c r="F9" s="88">
        <f>SUM(F10:F13)</f>
        <v>0</v>
      </c>
      <c r="G9" s="88">
        <f>SUM(G10:G13)</f>
        <v>0</v>
      </c>
      <c r="H9" s="88">
        <f>SUM(H10:H13)</f>
        <v>0</v>
      </c>
      <c r="I9" s="88">
        <f>SUM(I10:I13)</f>
        <v>0</v>
      </c>
      <c r="J9" s="85">
        <f>SUM(E9:I9)</f>
        <v>0</v>
      </c>
    </row>
    <row r="10" spans="2:16" ht="36" customHeight="1" x14ac:dyDescent="0.2">
      <c r="B10" s="543"/>
      <c r="C10" s="550"/>
      <c r="D10" s="289" t="s">
        <v>81</v>
      </c>
      <c r="E10" s="155"/>
      <c r="F10" s="155"/>
      <c r="G10" s="155"/>
      <c r="H10" s="155"/>
      <c r="I10" s="155"/>
      <c r="J10" s="87">
        <f t="shared" ref="J10:J56" si="0">SUM(E10:I10)</f>
        <v>0</v>
      </c>
    </row>
    <row r="11" spans="2:16" ht="36" customHeight="1" x14ac:dyDescent="0.2">
      <c r="B11" s="543"/>
      <c r="C11" s="550"/>
      <c r="D11" s="289" t="s">
        <v>82</v>
      </c>
      <c r="E11" s="155"/>
      <c r="F11" s="155"/>
      <c r="G11" s="155"/>
      <c r="H11" s="155"/>
      <c r="I11" s="155"/>
      <c r="J11" s="87">
        <f t="shared" si="0"/>
        <v>0</v>
      </c>
    </row>
    <row r="12" spans="2:16" ht="36" customHeight="1" x14ac:dyDescent="0.2">
      <c r="B12" s="543"/>
      <c r="C12" s="550"/>
      <c r="D12" s="289" t="s">
        <v>83</v>
      </c>
      <c r="E12" s="155"/>
      <c r="F12" s="155"/>
      <c r="G12" s="155"/>
      <c r="H12" s="155"/>
      <c r="I12" s="155"/>
      <c r="J12" s="87">
        <f t="shared" si="0"/>
        <v>0</v>
      </c>
    </row>
    <row r="13" spans="2:16" ht="36" customHeight="1" x14ac:dyDescent="0.2">
      <c r="B13" s="543"/>
      <c r="C13" s="550"/>
      <c r="D13" s="289" t="s">
        <v>84</v>
      </c>
      <c r="E13" s="155"/>
      <c r="F13" s="155"/>
      <c r="G13" s="155"/>
      <c r="H13" s="155"/>
      <c r="I13" s="155"/>
      <c r="J13" s="87">
        <f t="shared" si="0"/>
        <v>0</v>
      </c>
    </row>
    <row r="14" spans="2:16" ht="60" customHeight="1" x14ac:dyDescent="0.2">
      <c r="B14" s="543"/>
      <c r="C14" s="550"/>
      <c r="D14" s="333" t="s">
        <v>223</v>
      </c>
      <c r="E14" s="229">
        <f>SUM(E15:E18)/3</f>
        <v>0</v>
      </c>
      <c r="F14" s="229">
        <f>SUM(F15:F18)/3</f>
        <v>0</v>
      </c>
      <c r="G14" s="229">
        <f>SUM(G15:G18)/3</f>
        <v>0</v>
      </c>
      <c r="H14" s="229">
        <f>SUM(H15:H18)/3</f>
        <v>0</v>
      </c>
      <c r="I14" s="229">
        <f>SUM(I15:I18)/3</f>
        <v>0</v>
      </c>
      <c r="J14" s="229">
        <f t="shared" si="0"/>
        <v>0</v>
      </c>
      <c r="K14" s="25" t="s">
        <v>200</v>
      </c>
      <c r="L14" s="249">
        <f>SUM(E15:E18)</f>
        <v>0</v>
      </c>
      <c r="M14" s="249">
        <f>SUM(F15:F18)</f>
        <v>0</v>
      </c>
      <c r="N14" s="249">
        <f>SUM(G15:G18)</f>
        <v>0</v>
      </c>
      <c r="O14" s="249">
        <f>SUM(H15:H18)</f>
        <v>0</v>
      </c>
      <c r="P14" s="249">
        <f>SUM(I15:I18)</f>
        <v>0</v>
      </c>
    </row>
    <row r="15" spans="2:16" ht="36" customHeight="1" x14ac:dyDescent="0.2">
      <c r="B15" s="543"/>
      <c r="C15" s="550"/>
      <c r="D15" s="289" t="s">
        <v>81</v>
      </c>
      <c r="E15" s="155"/>
      <c r="F15" s="155"/>
      <c r="G15" s="155"/>
      <c r="H15" s="155"/>
      <c r="I15" s="155"/>
      <c r="J15" s="87">
        <f t="shared" si="0"/>
        <v>0</v>
      </c>
    </row>
    <row r="16" spans="2:16" ht="36" customHeight="1" x14ac:dyDescent="0.2">
      <c r="B16" s="543"/>
      <c r="C16" s="550"/>
      <c r="D16" s="289" t="s">
        <v>82</v>
      </c>
      <c r="E16" s="155"/>
      <c r="F16" s="155"/>
      <c r="G16" s="155"/>
      <c r="H16" s="155"/>
      <c r="I16" s="155"/>
      <c r="J16" s="87">
        <f t="shared" si="0"/>
        <v>0</v>
      </c>
    </row>
    <row r="17" spans="2:12" ht="36" customHeight="1" x14ac:dyDescent="0.2">
      <c r="B17" s="543"/>
      <c r="C17" s="550"/>
      <c r="D17" s="289" t="s">
        <v>83</v>
      </c>
      <c r="E17" s="155"/>
      <c r="F17" s="155"/>
      <c r="G17" s="155"/>
      <c r="H17" s="155"/>
      <c r="I17" s="155"/>
      <c r="J17" s="87">
        <f t="shared" si="0"/>
        <v>0</v>
      </c>
    </row>
    <row r="18" spans="2:12" ht="36" customHeight="1" x14ac:dyDescent="0.2">
      <c r="B18" s="543"/>
      <c r="C18" s="550"/>
      <c r="D18" s="289" t="s">
        <v>84</v>
      </c>
      <c r="E18" s="155"/>
      <c r="F18" s="155"/>
      <c r="G18" s="155"/>
      <c r="H18" s="155"/>
      <c r="I18" s="155"/>
      <c r="J18" s="87">
        <f t="shared" si="0"/>
        <v>0</v>
      </c>
    </row>
    <row r="19" spans="2:12" ht="69.75" customHeight="1" x14ac:dyDescent="0.2">
      <c r="B19" s="543"/>
      <c r="C19" s="550"/>
      <c r="D19" s="334" t="s">
        <v>227</v>
      </c>
      <c r="E19" s="87">
        <f>SUM(E20:E21)</f>
        <v>0</v>
      </c>
      <c r="F19" s="87">
        <f>SUM(F20:F21)</f>
        <v>0</v>
      </c>
      <c r="G19" s="87">
        <f>SUM(G20:G21)</f>
        <v>0</v>
      </c>
      <c r="H19" s="87">
        <f>SUM(H20:H21)</f>
        <v>0</v>
      </c>
      <c r="I19" s="87">
        <f>SUM(I20:I21)</f>
        <v>0</v>
      </c>
      <c r="J19" s="87">
        <f t="shared" si="0"/>
        <v>0</v>
      </c>
    </row>
    <row r="20" spans="2:12" ht="36" customHeight="1" x14ac:dyDescent="0.2">
      <c r="B20" s="543"/>
      <c r="C20" s="550"/>
      <c r="D20" s="314" t="s">
        <v>101</v>
      </c>
      <c r="E20" s="155"/>
      <c r="F20" s="155"/>
      <c r="G20" s="155"/>
      <c r="H20" s="155"/>
      <c r="I20" s="155"/>
      <c r="J20" s="87">
        <f t="shared" si="0"/>
        <v>0</v>
      </c>
    </row>
    <row r="21" spans="2:12" ht="36" customHeight="1" x14ac:dyDescent="0.2">
      <c r="B21" s="543"/>
      <c r="C21" s="550"/>
      <c r="D21" s="315" t="s">
        <v>102</v>
      </c>
      <c r="E21" s="155"/>
      <c r="F21" s="155"/>
      <c r="G21" s="155"/>
      <c r="H21" s="155"/>
      <c r="I21" s="155"/>
      <c r="J21" s="87">
        <f t="shared" si="0"/>
        <v>0</v>
      </c>
      <c r="K21" s="228" t="s">
        <v>193</v>
      </c>
      <c r="L21" s="228" t="s">
        <v>194</v>
      </c>
    </row>
    <row r="22" spans="2:12" ht="36" customHeight="1" x14ac:dyDescent="0.2">
      <c r="B22" s="543"/>
      <c r="C22" s="550"/>
      <c r="D22" s="334" t="s">
        <v>224</v>
      </c>
      <c r="E22" s="229">
        <f>E24+E25/3</f>
        <v>0</v>
      </c>
      <c r="F22" s="229">
        <f>F24+F25/3</f>
        <v>0</v>
      </c>
      <c r="G22" s="229">
        <f>G24+G25/3</f>
        <v>0</v>
      </c>
      <c r="H22" s="229">
        <f>H24+H25/3</f>
        <v>0</v>
      </c>
      <c r="I22" s="229">
        <f>I24+I25/3</f>
        <v>0</v>
      </c>
      <c r="J22" s="229">
        <f t="shared" si="0"/>
        <v>0</v>
      </c>
      <c r="K22" s="25">
        <v>300</v>
      </c>
      <c r="L22" s="249">
        <v>6</v>
      </c>
    </row>
    <row r="23" spans="2:12" ht="36" customHeight="1" x14ac:dyDescent="0.2">
      <c r="B23" s="543"/>
      <c r="C23" s="550"/>
      <c r="D23" s="334" t="s">
        <v>314</v>
      </c>
      <c r="E23" s="229">
        <f>E26+E27/3</f>
        <v>0</v>
      </c>
      <c r="F23" s="229">
        <f>F26+F27/3</f>
        <v>0</v>
      </c>
      <c r="G23" s="229">
        <f>G26+G27/3</f>
        <v>0</v>
      </c>
      <c r="H23" s="229">
        <f>H26+H27/3</f>
        <v>0</v>
      </c>
      <c r="I23" s="229">
        <f>I26+I27/3</f>
        <v>0</v>
      </c>
      <c r="J23" s="229">
        <f t="shared" si="0"/>
        <v>0</v>
      </c>
      <c r="K23" s="25">
        <v>150</v>
      </c>
      <c r="L23" s="249">
        <v>4</v>
      </c>
    </row>
    <row r="24" spans="2:12" ht="36" customHeight="1" x14ac:dyDescent="0.2">
      <c r="B24" s="543"/>
      <c r="C24" s="550"/>
      <c r="D24" s="291" t="s">
        <v>212</v>
      </c>
      <c r="E24" s="155"/>
      <c r="F24" s="155"/>
      <c r="G24" s="155"/>
      <c r="H24" s="155"/>
      <c r="I24" s="155"/>
      <c r="J24" s="87">
        <f t="shared" si="0"/>
        <v>0</v>
      </c>
    </row>
    <row r="25" spans="2:12" ht="36" customHeight="1" x14ac:dyDescent="0.2">
      <c r="B25" s="543"/>
      <c r="C25" s="550"/>
      <c r="D25" s="291" t="s">
        <v>213</v>
      </c>
      <c r="E25" s="155"/>
      <c r="F25" s="155"/>
      <c r="G25" s="155"/>
      <c r="H25" s="155"/>
      <c r="I25" s="155"/>
      <c r="J25" s="87">
        <f t="shared" si="0"/>
        <v>0</v>
      </c>
    </row>
    <row r="26" spans="2:12" ht="36" customHeight="1" x14ac:dyDescent="0.2">
      <c r="B26" s="543"/>
      <c r="C26" s="550"/>
      <c r="D26" s="291" t="s">
        <v>312</v>
      </c>
      <c r="E26" s="155"/>
      <c r="F26" s="155"/>
      <c r="G26" s="155"/>
      <c r="H26" s="155"/>
      <c r="I26" s="155"/>
      <c r="J26" s="87">
        <f t="shared" si="0"/>
        <v>0</v>
      </c>
    </row>
    <row r="27" spans="2:12" ht="36" customHeight="1" x14ac:dyDescent="0.2">
      <c r="B27" s="543"/>
      <c r="C27" s="550"/>
      <c r="D27" s="291" t="s">
        <v>313</v>
      </c>
      <c r="E27" s="155"/>
      <c r="F27" s="155"/>
      <c r="G27" s="155"/>
      <c r="H27" s="155"/>
      <c r="I27" s="155"/>
      <c r="J27" s="87">
        <f t="shared" si="0"/>
        <v>0</v>
      </c>
    </row>
    <row r="28" spans="2:12" ht="36" customHeight="1" thickBot="1" x14ac:dyDescent="0.25">
      <c r="B28" s="544"/>
      <c r="C28" s="551"/>
      <c r="D28" s="291" t="s">
        <v>180</v>
      </c>
      <c r="E28" s="153"/>
      <c r="F28" s="153"/>
      <c r="G28" s="153"/>
      <c r="H28" s="153"/>
      <c r="I28" s="153"/>
      <c r="J28" s="160">
        <f t="shared" si="0"/>
        <v>0</v>
      </c>
    </row>
    <row r="29" spans="2:12" ht="36" customHeight="1" x14ac:dyDescent="0.2">
      <c r="B29" s="542">
        <v>2</v>
      </c>
      <c r="C29" s="539" t="s">
        <v>201</v>
      </c>
      <c r="D29" s="242" t="s">
        <v>174</v>
      </c>
      <c r="E29" s="154"/>
      <c r="F29" s="154"/>
      <c r="G29" s="154"/>
      <c r="H29" s="154"/>
      <c r="I29" s="154"/>
      <c r="J29" s="88">
        <f>SUM(E29:I29)</f>
        <v>0</v>
      </c>
    </row>
    <row r="30" spans="2:12" ht="36" customHeight="1" x14ac:dyDescent="0.2">
      <c r="B30" s="543"/>
      <c r="C30" s="540"/>
      <c r="D30" s="335" t="s">
        <v>85</v>
      </c>
      <c r="E30" s="119">
        <f>E47+E50</f>
        <v>0</v>
      </c>
      <c r="F30" s="87">
        <f>F47+F50</f>
        <v>0</v>
      </c>
      <c r="G30" s="130">
        <f>G47+G50</f>
        <v>0</v>
      </c>
      <c r="H30" s="87">
        <f>H47+H50</f>
        <v>0</v>
      </c>
      <c r="I30" s="130">
        <f>I47+I50</f>
        <v>0</v>
      </c>
      <c r="J30" s="87">
        <f>SUM(E30:I30)</f>
        <v>0</v>
      </c>
    </row>
    <row r="31" spans="2:12" ht="36" customHeight="1" x14ac:dyDescent="0.2">
      <c r="B31" s="543"/>
      <c r="C31" s="540"/>
      <c r="D31" s="335" t="s">
        <v>86</v>
      </c>
      <c r="E31" s="119">
        <f>E35+E47+E50</f>
        <v>0</v>
      </c>
      <c r="F31" s="119">
        <f>F35+F47+F50</f>
        <v>0</v>
      </c>
      <c r="G31" s="119">
        <f>G35+G47+G50</f>
        <v>0</v>
      </c>
      <c r="H31" s="119">
        <f>H35+H47+H50</f>
        <v>0</v>
      </c>
      <c r="I31" s="119">
        <f>I35+I47+I50</f>
        <v>0</v>
      </c>
      <c r="J31" s="87">
        <f t="shared" si="0"/>
        <v>0</v>
      </c>
    </row>
    <row r="32" spans="2:12" ht="36" customHeight="1" x14ac:dyDescent="0.2">
      <c r="B32" s="543"/>
      <c r="C32" s="540"/>
      <c r="D32" s="335" t="s">
        <v>87</v>
      </c>
      <c r="E32" s="119">
        <f>E38+E44+E50</f>
        <v>0</v>
      </c>
      <c r="F32" s="119">
        <f>F38+F44+F50</f>
        <v>0</v>
      </c>
      <c r="G32" s="119">
        <f>G38+G44+G50</f>
        <v>0</v>
      </c>
      <c r="H32" s="119">
        <f>H38+H44+H50</f>
        <v>0</v>
      </c>
      <c r="I32" s="119">
        <f>I38+I44+I50</f>
        <v>0</v>
      </c>
      <c r="J32" s="87">
        <f t="shared" si="0"/>
        <v>0</v>
      </c>
    </row>
    <row r="33" spans="2:10" ht="36" customHeight="1" x14ac:dyDescent="0.2">
      <c r="B33" s="543"/>
      <c r="C33" s="540"/>
      <c r="D33" s="335" t="s">
        <v>88</v>
      </c>
      <c r="E33" s="119">
        <f>E41</f>
        <v>0</v>
      </c>
      <c r="F33" s="87">
        <f>F41</f>
        <v>0</v>
      </c>
      <c r="G33" s="130">
        <f>G41</f>
        <v>0</v>
      </c>
      <c r="H33" s="87">
        <f>H41</f>
        <v>0</v>
      </c>
      <c r="I33" s="130">
        <f>I41</f>
        <v>0</v>
      </c>
      <c r="J33" s="87">
        <f t="shared" si="0"/>
        <v>0</v>
      </c>
    </row>
    <row r="34" spans="2:10" ht="36" customHeight="1" x14ac:dyDescent="0.2">
      <c r="B34" s="543"/>
      <c r="C34" s="540"/>
      <c r="D34" s="335" t="s">
        <v>89</v>
      </c>
      <c r="E34" s="119">
        <f>E38+E44</f>
        <v>0</v>
      </c>
      <c r="F34" s="119">
        <f>F38+F44</f>
        <v>0</v>
      </c>
      <c r="G34" s="119">
        <f>G38+G44</f>
        <v>0</v>
      </c>
      <c r="H34" s="119">
        <f>H38+H44</f>
        <v>0</v>
      </c>
      <c r="I34" s="119">
        <f>I38+I44</f>
        <v>0</v>
      </c>
      <c r="J34" s="86">
        <f t="shared" si="0"/>
        <v>0</v>
      </c>
    </row>
    <row r="35" spans="2:10" ht="36" customHeight="1" x14ac:dyDescent="0.2">
      <c r="B35" s="543"/>
      <c r="C35" s="540"/>
      <c r="D35" s="335" t="s">
        <v>90</v>
      </c>
      <c r="E35" s="119">
        <f>(E36+E37/2)</f>
        <v>0</v>
      </c>
      <c r="F35" s="119">
        <f>(F36+F37/2)</f>
        <v>0</v>
      </c>
      <c r="G35" s="119">
        <f>(G36+G37/2)</f>
        <v>0</v>
      </c>
      <c r="H35" s="119">
        <f>(H36+H37/2)</f>
        <v>0</v>
      </c>
      <c r="I35" s="119">
        <f>(I36+I37/2)</f>
        <v>0</v>
      </c>
      <c r="J35" s="87">
        <f t="shared" si="0"/>
        <v>0</v>
      </c>
    </row>
    <row r="36" spans="2:10" ht="36" customHeight="1" x14ac:dyDescent="0.2">
      <c r="B36" s="543"/>
      <c r="C36" s="540"/>
      <c r="D36" s="243" t="s">
        <v>103</v>
      </c>
      <c r="E36" s="155"/>
      <c r="F36" s="155"/>
      <c r="G36" s="155"/>
      <c r="H36" s="155"/>
      <c r="I36" s="155"/>
      <c r="J36" s="87">
        <f t="shared" si="0"/>
        <v>0</v>
      </c>
    </row>
    <row r="37" spans="2:10" ht="36" customHeight="1" x14ac:dyDescent="0.2">
      <c r="B37" s="543"/>
      <c r="C37" s="540"/>
      <c r="D37" s="243" t="s">
        <v>104</v>
      </c>
      <c r="E37" s="155"/>
      <c r="F37" s="155"/>
      <c r="G37" s="155"/>
      <c r="H37" s="155"/>
      <c r="I37" s="155"/>
      <c r="J37" s="87">
        <f t="shared" si="0"/>
        <v>0</v>
      </c>
    </row>
    <row r="38" spans="2:10" ht="36" customHeight="1" x14ac:dyDescent="0.2">
      <c r="B38" s="543"/>
      <c r="C38" s="540"/>
      <c r="D38" s="335" t="s">
        <v>91</v>
      </c>
      <c r="E38" s="119">
        <f>(E39+E40/2)</f>
        <v>0</v>
      </c>
      <c r="F38" s="119">
        <f>(F39+F40/2)</f>
        <v>0</v>
      </c>
      <c r="G38" s="119">
        <f>(G39+G40/2)</f>
        <v>0</v>
      </c>
      <c r="H38" s="119">
        <f>(H39+H40/2)</f>
        <v>0</v>
      </c>
      <c r="I38" s="119">
        <f>(I39+I40/2)</f>
        <v>0</v>
      </c>
      <c r="J38" s="87">
        <f t="shared" si="0"/>
        <v>0</v>
      </c>
    </row>
    <row r="39" spans="2:10" ht="36" customHeight="1" x14ac:dyDescent="0.2">
      <c r="B39" s="543"/>
      <c r="C39" s="540"/>
      <c r="D39" s="243" t="s">
        <v>103</v>
      </c>
      <c r="E39" s="155"/>
      <c r="F39" s="155"/>
      <c r="G39" s="155"/>
      <c r="H39" s="155"/>
      <c r="I39" s="155"/>
      <c r="J39" s="87">
        <f t="shared" si="0"/>
        <v>0</v>
      </c>
    </row>
    <row r="40" spans="2:10" ht="36" customHeight="1" x14ac:dyDescent="0.2">
      <c r="B40" s="543"/>
      <c r="C40" s="540"/>
      <c r="D40" s="243" t="s">
        <v>104</v>
      </c>
      <c r="E40" s="155"/>
      <c r="F40" s="155"/>
      <c r="G40" s="155"/>
      <c r="H40" s="155"/>
      <c r="I40" s="155"/>
      <c r="J40" s="87">
        <f t="shared" si="0"/>
        <v>0</v>
      </c>
    </row>
    <row r="41" spans="2:10" ht="36" customHeight="1" x14ac:dyDescent="0.2">
      <c r="B41" s="543"/>
      <c r="C41" s="540"/>
      <c r="D41" s="335" t="s">
        <v>92</v>
      </c>
      <c r="E41" s="119">
        <f>(E42+E43/2)</f>
        <v>0</v>
      </c>
      <c r="F41" s="119">
        <f>(F42+F43/2)</f>
        <v>0</v>
      </c>
      <c r="G41" s="119">
        <f>(G42+G43/2)</f>
        <v>0</v>
      </c>
      <c r="H41" s="119">
        <f>(H42+H43/2)</f>
        <v>0</v>
      </c>
      <c r="I41" s="119">
        <f>(I42+I43/2)</f>
        <v>0</v>
      </c>
      <c r="J41" s="87">
        <f t="shared" si="0"/>
        <v>0</v>
      </c>
    </row>
    <row r="42" spans="2:10" ht="36" customHeight="1" x14ac:dyDescent="0.2">
      <c r="B42" s="543"/>
      <c r="C42" s="540"/>
      <c r="D42" s="243" t="s">
        <v>103</v>
      </c>
      <c r="E42" s="155"/>
      <c r="F42" s="155"/>
      <c r="G42" s="155"/>
      <c r="H42" s="155"/>
      <c r="I42" s="155"/>
      <c r="J42" s="87">
        <f t="shared" si="0"/>
        <v>0</v>
      </c>
    </row>
    <row r="43" spans="2:10" ht="36" customHeight="1" x14ac:dyDescent="0.2">
      <c r="B43" s="543"/>
      <c r="C43" s="540"/>
      <c r="D43" s="243" t="s">
        <v>104</v>
      </c>
      <c r="E43" s="155"/>
      <c r="F43" s="155"/>
      <c r="G43" s="155"/>
      <c r="H43" s="155"/>
      <c r="I43" s="155"/>
      <c r="J43" s="87">
        <f t="shared" si="0"/>
        <v>0</v>
      </c>
    </row>
    <row r="44" spans="2:10" ht="36" customHeight="1" x14ac:dyDescent="0.2">
      <c r="B44" s="543"/>
      <c r="C44" s="540"/>
      <c r="D44" s="335" t="s">
        <v>93</v>
      </c>
      <c r="E44" s="119">
        <f>(E45+E46/2)</f>
        <v>0</v>
      </c>
      <c r="F44" s="119">
        <f>(F45+F46/2)</f>
        <v>0</v>
      </c>
      <c r="G44" s="119">
        <f>(G45+G46/2)</f>
        <v>0</v>
      </c>
      <c r="H44" s="119">
        <f>(H45+H46/2)</f>
        <v>0</v>
      </c>
      <c r="I44" s="119">
        <f>(I45+I46/2)</f>
        <v>0</v>
      </c>
      <c r="J44" s="87">
        <f t="shared" si="0"/>
        <v>0</v>
      </c>
    </row>
    <row r="45" spans="2:10" ht="36" customHeight="1" x14ac:dyDescent="0.2">
      <c r="B45" s="543"/>
      <c r="C45" s="540"/>
      <c r="D45" s="243" t="s">
        <v>103</v>
      </c>
      <c r="E45" s="155"/>
      <c r="F45" s="155"/>
      <c r="G45" s="155"/>
      <c r="H45" s="155"/>
      <c r="I45" s="155"/>
      <c r="J45" s="87">
        <f t="shared" si="0"/>
        <v>0</v>
      </c>
    </row>
    <row r="46" spans="2:10" ht="36" customHeight="1" x14ac:dyDescent="0.2">
      <c r="B46" s="543"/>
      <c r="C46" s="540"/>
      <c r="D46" s="243" t="s">
        <v>104</v>
      </c>
      <c r="E46" s="155"/>
      <c r="F46" s="155"/>
      <c r="G46" s="155"/>
      <c r="H46" s="155"/>
      <c r="I46" s="155"/>
      <c r="J46" s="87">
        <f t="shared" si="0"/>
        <v>0</v>
      </c>
    </row>
    <row r="47" spans="2:10" ht="36" customHeight="1" x14ac:dyDescent="0.2">
      <c r="B47" s="543"/>
      <c r="C47" s="540"/>
      <c r="D47" s="335" t="s">
        <v>94</v>
      </c>
      <c r="E47" s="119">
        <f>(E48+E49/3)</f>
        <v>0</v>
      </c>
      <c r="F47" s="119">
        <f>(F48+F49/3)</f>
        <v>0</v>
      </c>
      <c r="G47" s="119">
        <f>(G48+G49/3)</f>
        <v>0</v>
      </c>
      <c r="H47" s="119">
        <f>(H48+H49/3)</f>
        <v>0</v>
      </c>
      <c r="I47" s="119">
        <f>(I48+I49/3)</f>
        <v>0</v>
      </c>
      <c r="J47" s="87">
        <f t="shared" si="0"/>
        <v>0</v>
      </c>
    </row>
    <row r="48" spans="2:10" ht="36" customHeight="1" x14ac:dyDescent="0.2">
      <c r="B48" s="543"/>
      <c r="C48" s="540"/>
      <c r="D48" s="243" t="s">
        <v>103</v>
      </c>
      <c r="E48" s="155"/>
      <c r="F48" s="155"/>
      <c r="G48" s="155"/>
      <c r="H48" s="155"/>
      <c r="I48" s="155"/>
      <c r="J48" s="87">
        <f t="shared" si="0"/>
        <v>0</v>
      </c>
    </row>
    <row r="49" spans="1:10" ht="36" customHeight="1" x14ac:dyDescent="0.2">
      <c r="B49" s="543"/>
      <c r="C49" s="540"/>
      <c r="D49" s="243" t="s">
        <v>104</v>
      </c>
      <c r="E49" s="155"/>
      <c r="F49" s="155"/>
      <c r="G49" s="155"/>
      <c r="H49" s="155"/>
      <c r="I49" s="155"/>
      <c r="J49" s="87">
        <f t="shared" si="0"/>
        <v>0</v>
      </c>
    </row>
    <row r="50" spans="1:10" ht="36" customHeight="1" x14ac:dyDescent="0.2">
      <c r="B50" s="543"/>
      <c r="C50" s="540"/>
      <c r="D50" s="335" t="s">
        <v>95</v>
      </c>
      <c r="E50" s="119">
        <f>(E51+E52/3)</f>
        <v>0</v>
      </c>
      <c r="F50" s="119">
        <f>(F51+F52/3)</f>
        <v>0</v>
      </c>
      <c r="G50" s="119">
        <f>(G51+G52/3)</f>
        <v>0</v>
      </c>
      <c r="H50" s="119">
        <f>(H51+H52/3)</f>
        <v>0</v>
      </c>
      <c r="I50" s="119">
        <f>(I51+I52/3)</f>
        <v>0</v>
      </c>
      <c r="J50" s="87">
        <f t="shared" si="0"/>
        <v>0</v>
      </c>
    </row>
    <row r="51" spans="1:10" ht="36" customHeight="1" x14ac:dyDescent="0.2">
      <c r="B51" s="543"/>
      <c r="C51" s="540"/>
      <c r="D51" s="243" t="s">
        <v>103</v>
      </c>
      <c r="E51" s="155"/>
      <c r="F51" s="155"/>
      <c r="G51" s="155"/>
      <c r="H51" s="155"/>
      <c r="I51" s="155"/>
      <c r="J51" s="87">
        <f t="shared" si="0"/>
        <v>0</v>
      </c>
    </row>
    <row r="52" spans="1:10" ht="36" customHeight="1" x14ac:dyDescent="0.2">
      <c r="B52" s="543"/>
      <c r="C52" s="540"/>
      <c r="D52" s="243" t="s">
        <v>104</v>
      </c>
      <c r="E52" s="155"/>
      <c r="F52" s="155"/>
      <c r="G52" s="155"/>
      <c r="H52" s="155"/>
      <c r="I52" s="155"/>
      <c r="J52" s="87">
        <f t="shared" si="0"/>
        <v>0</v>
      </c>
    </row>
    <row r="53" spans="1:10" ht="36" customHeight="1" x14ac:dyDescent="0.2">
      <c r="B53" s="543"/>
      <c r="C53" s="540"/>
      <c r="D53" s="243" t="s">
        <v>96</v>
      </c>
      <c r="E53" s="155"/>
      <c r="F53" s="155"/>
      <c r="G53" s="155"/>
      <c r="H53" s="155"/>
      <c r="I53" s="155"/>
      <c r="J53" s="87">
        <f t="shared" si="0"/>
        <v>0</v>
      </c>
    </row>
    <row r="54" spans="1:10" ht="36" customHeight="1" thickBot="1" x14ac:dyDescent="0.25">
      <c r="B54" s="544"/>
      <c r="C54" s="541"/>
      <c r="D54" s="244" t="s">
        <v>214</v>
      </c>
      <c r="E54" s="156"/>
      <c r="F54" s="157"/>
      <c r="G54" s="158"/>
      <c r="H54" s="157"/>
      <c r="I54" s="158"/>
      <c r="J54" s="65">
        <f t="shared" si="0"/>
        <v>0</v>
      </c>
    </row>
    <row r="55" spans="1:10" ht="43.5" customHeight="1" x14ac:dyDescent="0.2">
      <c r="B55" s="545">
        <v>3</v>
      </c>
      <c r="C55" s="539" t="s">
        <v>228</v>
      </c>
      <c r="D55" s="242" t="s">
        <v>215</v>
      </c>
      <c r="E55" s="159"/>
      <c r="F55" s="159"/>
      <c r="G55" s="159"/>
      <c r="H55" s="159"/>
      <c r="I55" s="159"/>
      <c r="J55" s="161">
        <f t="shared" si="0"/>
        <v>0</v>
      </c>
    </row>
    <row r="56" spans="1:10" ht="43.5" customHeight="1" thickBot="1" x14ac:dyDescent="0.25">
      <c r="B56" s="546"/>
      <c r="C56" s="531"/>
      <c r="D56" s="244" t="s">
        <v>216</v>
      </c>
      <c r="E56" s="156"/>
      <c r="F56" s="156"/>
      <c r="G56" s="156"/>
      <c r="H56" s="156"/>
      <c r="I56" s="157"/>
      <c r="J56" s="65">
        <f t="shared" si="0"/>
        <v>0</v>
      </c>
    </row>
    <row r="57" spans="1:10" ht="36" customHeight="1" thickBot="1" x14ac:dyDescent="0.25">
      <c r="B57" s="84"/>
      <c r="C57" s="84"/>
      <c r="D57" s="84"/>
      <c r="E57" s="31"/>
      <c r="F57" s="31"/>
      <c r="G57" s="84"/>
      <c r="H57" s="31"/>
      <c r="I57" s="31"/>
      <c r="J57" s="84"/>
    </row>
    <row r="58" spans="1:10" ht="57.75" customHeight="1" thickBot="1" x14ac:dyDescent="0.25">
      <c r="B58" s="533" t="s">
        <v>150</v>
      </c>
      <c r="C58" s="534"/>
      <c r="D58" s="534"/>
      <c r="E58" s="534"/>
      <c r="F58" s="534"/>
      <c r="G58" s="534"/>
      <c r="H58" s="534"/>
      <c r="I58" s="534"/>
      <c r="J58" s="535"/>
    </row>
    <row r="59" spans="1:10" s="19" customFormat="1" ht="36" customHeight="1" thickBot="1" x14ac:dyDescent="0.3">
      <c r="B59" s="100" t="s">
        <v>9</v>
      </c>
      <c r="C59" s="111" t="s">
        <v>10</v>
      </c>
      <c r="D59" s="100" t="s">
        <v>11</v>
      </c>
      <c r="E59" s="100">
        <v>2019</v>
      </c>
      <c r="F59" s="100">
        <v>2020</v>
      </c>
      <c r="G59" s="116">
        <v>2021</v>
      </c>
      <c r="H59" s="100">
        <v>2022</v>
      </c>
      <c r="I59" s="111">
        <v>2023</v>
      </c>
      <c r="J59" s="117" t="s">
        <v>43</v>
      </c>
    </row>
    <row r="60" spans="1:10" ht="68.25" customHeight="1" x14ac:dyDescent="0.2">
      <c r="A60" s="247"/>
      <c r="B60" s="552">
        <v>1</v>
      </c>
      <c r="C60" s="549" t="s">
        <v>13</v>
      </c>
      <c r="D60" s="332" t="s">
        <v>229</v>
      </c>
      <c r="E60" s="66">
        <f>SUM(E61:E64)</f>
        <v>0</v>
      </c>
      <c r="F60" s="66">
        <f>SUM(F61:F64)</f>
        <v>0</v>
      </c>
      <c r="G60" s="71">
        <f>SUM(G61:G64)</f>
        <v>0</v>
      </c>
      <c r="H60" s="66">
        <f>SUM(H61:H64)</f>
        <v>0</v>
      </c>
      <c r="I60" s="71">
        <f>SUM(I61:I64)</f>
        <v>0</v>
      </c>
      <c r="J60" s="66">
        <f>SUM(E60:I60)</f>
        <v>0</v>
      </c>
    </row>
    <row r="61" spans="1:10" ht="24" customHeight="1" x14ac:dyDescent="0.2">
      <c r="A61" s="247"/>
      <c r="B61" s="553"/>
      <c r="C61" s="550"/>
      <c r="D61" s="289" t="s">
        <v>202</v>
      </c>
      <c r="E61" s="155"/>
      <c r="F61" s="155"/>
      <c r="G61" s="155"/>
      <c r="H61" s="155"/>
      <c r="I61" s="155"/>
      <c r="J61" s="67">
        <f t="shared" ref="J61:J72" si="1">SUM(E61:I61)</f>
        <v>0</v>
      </c>
    </row>
    <row r="62" spans="1:10" ht="24" customHeight="1" x14ac:dyDescent="0.2">
      <c r="A62" s="247"/>
      <c r="B62" s="553"/>
      <c r="C62" s="550"/>
      <c r="D62" s="289" t="s">
        <v>175</v>
      </c>
      <c r="E62" s="155"/>
      <c r="F62" s="155"/>
      <c r="G62" s="155"/>
      <c r="H62" s="155"/>
      <c r="I62" s="155"/>
      <c r="J62" s="67">
        <f t="shared" si="1"/>
        <v>0</v>
      </c>
    </row>
    <row r="63" spans="1:10" ht="24" customHeight="1" x14ac:dyDescent="0.2">
      <c r="A63" s="247"/>
      <c r="B63" s="553"/>
      <c r="C63" s="550"/>
      <c r="D63" s="289" t="s">
        <v>176</v>
      </c>
      <c r="E63" s="155"/>
      <c r="F63" s="155"/>
      <c r="G63" s="155"/>
      <c r="H63" s="155"/>
      <c r="I63" s="155"/>
      <c r="J63" s="67">
        <f t="shared" si="1"/>
        <v>0</v>
      </c>
    </row>
    <row r="64" spans="1:10" ht="24" customHeight="1" x14ac:dyDescent="0.2">
      <c r="A64" s="247"/>
      <c r="B64" s="553"/>
      <c r="C64" s="550"/>
      <c r="D64" s="289" t="s">
        <v>203</v>
      </c>
      <c r="E64" s="155"/>
      <c r="F64" s="155"/>
      <c r="G64" s="155"/>
      <c r="H64" s="155"/>
      <c r="I64" s="155"/>
      <c r="J64" s="70">
        <f t="shared" si="1"/>
        <v>0</v>
      </c>
    </row>
    <row r="65" spans="1:10" ht="69" customHeight="1" thickBot="1" x14ac:dyDescent="0.25">
      <c r="A65" s="247"/>
      <c r="B65" s="553"/>
      <c r="C65" s="550"/>
      <c r="D65" s="339" t="s">
        <v>225</v>
      </c>
      <c r="E65" s="344"/>
      <c r="F65" s="344"/>
      <c r="G65" s="344"/>
      <c r="H65" s="344"/>
      <c r="I65" s="344"/>
      <c r="J65" s="68">
        <f t="shared" si="1"/>
        <v>0</v>
      </c>
    </row>
    <row r="66" spans="1:10" ht="33" customHeight="1" x14ac:dyDescent="0.2">
      <c r="A66" s="247"/>
      <c r="B66" s="506">
        <v>2</v>
      </c>
      <c r="C66" s="508" t="s">
        <v>25</v>
      </c>
      <c r="D66" s="290" t="s">
        <v>184</v>
      </c>
      <c r="E66" s="164"/>
      <c r="F66" s="164"/>
      <c r="G66" s="164"/>
      <c r="H66" s="164"/>
      <c r="I66" s="164"/>
      <c r="J66" s="69">
        <f t="shared" si="1"/>
        <v>0</v>
      </c>
    </row>
    <row r="67" spans="1:10" ht="73.5" customHeight="1" thickBot="1" x14ac:dyDescent="0.25">
      <c r="A67" s="247"/>
      <c r="B67" s="507"/>
      <c r="C67" s="509"/>
      <c r="D67" s="291" t="s">
        <v>230</v>
      </c>
      <c r="E67" s="165"/>
      <c r="F67" s="165"/>
      <c r="G67" s="165"/>
      <c r="H67" s="165"/>
      <c r="I67" s="165"/>
      <c r="J67" s="70">
        <f t="shared" si="1"/>
        <v>0</v>
      </c>
    </row>
    <row r="68" spans="1:10" ht="24.6" customHeight="1" x14ac:dyDescent="0.2">
      <c r="A68" s="247"/>
      <c r="B68" s="506">
        <v>3</v>
      </c>
      <c r="C68" s="511" t="s">
        <v>204</v>
      </c>
      <c r="D68" s="332" t="s">
        <v>33</v>
      </c>
      <c r="E68" s="66">
        <f>SUM(E69:E70)</f>
        <v>0</v>
      </c>
      <c r="F68" s="66">
        <f>SUM(F69:F70)</f>
        <v>0</v>
      </c>
      <c r="G68" s="71">
        <f>SUM(G69:G70)</f>
        <v>0</v>
      </c>
      <c r="H68" s="66">
        <f>SUM(H69:H70)</f>
        <v>0</v>
      </c>
      <c r="I68" s="71">
        <f>SUM(I69:I70)</f>
        <v>0</v>
      </c>
      <c r="J68" s="66">
        <f>SUM(E68:I68)</f>
        <v>0</v>
      </c>
    </row>
    <row r="69" spans="1:10" ht="24" customHeight="1" x14ac:dyDescent="0.2">
      <c r="B69" s="510"/>
      <c r="C69" s="512"/>
      <c r="D69" s="243" t="s">
        <v>173</v>
      </c>
      <c r="E69" s="155"/>
      <c r="F69" s="155"/>
      <c r="G69" s="155"/>
      <c r="H69" s="155"/>
      <c r="I69" s="155"/>
      <c r="J69" s="67">
        <f t="shared" si="1"/>
        <v>0</v>
      </c>
    </row>
    <row r="70" spans="1:10" ht="24" customHeight="1" thickBot="1" x14ac:dyDescent="0.25">
      <c r="B70" s="507"/>
      <c r="C70" s="513"/>
      <c r="D70" s="459" t="s">
        <v>296</v>
      </c>
      <c r="E70" s="163"/>
      <c r="F70" s="163"/>
      <c r="G70" s="163"/>
      <c r="H70" s="163"/>
      <c r="I70" s="163"/>
      <c r="J70" s="68">
        <f t="shared" si="1"/>
        <v>0</v>
      </c>
    </row>
    <row r="71" spans="1:10" ht="80.25" customHeight="1" x14ac:dyDescent="0.2">
      <c r="B71" s="506">
        <v>4</v>
      </c>
      <c r="C71" s="511" t="s">
        <v>29</v>
      </c>
      <c r="D71" s="127" t="s">
        <v>231</v>
      </c>
      <c r="E71" s="155"/>
      <c r="F71" s="155"/>
      <c r="G71" s="155"/>
      <c r="H71" s="155"/>
      <c r="I71" s="155"/>
      <c r="J71" s="66">
        <f t="shared" si="1"/>
        <v>0</v>
      </c>
    </row>
    <row r="72" spans="1:10" ht="70.5" customHeight="1" thickBot="1" x14ac:dyDescent="0.25">
      <c r="B72" s="507"/>
      <c r="C72" s="513"/>
      <c r="D72" s="128" t="s">
        <v>232</v>
      </c>
      <c r="E72" s="163"/>
      <c r="F72" s="163"/>
      <c r="G72" s="163"/>
      <c r="H72" s="163"/>
      <c r="I72" s="163"/>
      <c r="J72" s="68">
        <f t="shared" si="1"/>
        <v>0</v>
      </c>
    </row>
    <row r="75" spans="1:10" s="25" customFormat="1" ht="16.5" thickBot="1" x14ac:dyDescent="0.3">
      <c r="B75" s="31"/>
      <c r="C75" s="64"/>
      <c r="D75" s="64"/>
      <c r="E75" s="64"/>
      <c r="F75" s="64"/>
      <c r="G75" s="64"/>
      <c r="H75" s="64"/>
      <c r="I75" s="64"/>
      <c r="J75" s="64"/>
    </row>
    <row r="76" spans="1:10" s="25" customFormat="1" ht="57.75" customHeight="1" thickBot="1" x14ac:dyDescent="0.3">
      <c r="B76" s="523" t="s">
        <v>151</v>
      </c>
      <c r="C76" s="524"/>
      <c r="D76" s="524"/>
      <c r="E76" s="524"/>
      <c r="F76" s="524"/>
      <c r="G76" s="524"/>
      <c r="H76" s="524"/>
      <c r="I76" s="524"/>
      <c r="J76" s="525"/>
    </row>
    <row r="77" spans="1:10" s="19" customFormat="1" ht="36" customHeight="1" thickBot="1" x14ac:dyDescent="0.3">
      <c r="B77" s="100" t="s">
        <v>9</v>
      </c>
      <c r="C77" s="203" t="s">
        <v>10</v>
      </c>
      <c r="D77" s="111" t="s">
        <v>11</v>
      </c>
      <c r="E77" s="100">
        <v>2019</v>
      </c>
      <c r="F77" s="100">
        <v>2020</v>
      </c>
      <c r="G77" s="116">
        <v>2021</v>
      </c>
      <c r="H77" s="100">
        <v>2022</v>
      </c>
      <c r="I77" s="111">
        <v>2023</v>
      </c>
      <c r="J77" s="117" t="s">
        <v>43</v>
      </c>
    </row>
    <row r="78" spans="1:10" s="19" customFormat="1" ht="36.75" customHeight="1" x14ac:dyDescent="0.25">
      <c r="B78" s="506">
        <v>1</v>
      </c>
      <c r="C78" s="514" t="s">
        <v>1</v>
      </c>
      <c r="D78" s="336" t="s">
        <v>31</v>
      </c>
      <c r="E78" s="66">
        <f>SUM(E79:E80)</f>
        <v>0</v>
      </c>
      <c r="F78" s="66">
        <f>SUM(F79:F80)</f>
        <v>0</v>
      </c>
      <c r="G78" s="66">
        <f>SUM(G79:G80)</f>
        <v>0</v>
      </c>
      <c r="H78" s="66">
        <f>SUM(H79:H80)</f>
        <v>0</v>
      </c>
      <c r="I78" s="71">
        <f>SUM(I79:I80)</f>
        <v>0</v>
      </c>
      <c r="J78" s="72">
        <f>SUM(E78:I78)</f>
        <v>0</v>
      </c>
    </row>
    <row r="79" spans="1:10" ht="36.75" customHeight="1" x14ac:dyDescent="0.2">
      <c r="B79" s="510"/>
      <c r="C79" s="515"/>
      <c r="D79" s="294" t="s">
        <v>98</v>
      </c>
      <c r="E79" s="162"/>
      <c r="F79" s="162"/>
      <c r="G79" s="162"/>
      <c r="H79" s="162"/>
      <c r="I79" s="162"/>
      <c r="J79" s="73">
        <f>SUM(E79:I79)</f>
        <v>0</v>
      </c>
    </row>
    <row r="80" spans="1:10" ht="36.75" customHeight="1" x14ac:dyDescent="0.2">
      <c r="B80" s="510"/>
      <c r="C80" s="515"/>
      <c r="D80" s="294" t="s">
        <v>207</v>
      </c>
      <c r="E80" s="162"/>
      <c r="F80" s="162"/>
      <c r="G80" s="162"/>
      <c r="H80" s="162"/>
      <c r="I80" s="162"/>
      <c r="J80" s="73">
        <f t="shared" ref="J80:J93" si="2">SUM(E80:I80)</f>
        <v>0</v>
      </c>
    </row>
    <row r="81" spans="2:11" ht="36.75" customHeight="1" x14ac:dyDescent="0.2">
      <c r="B81" s="510"/>
      <c r="C81" s="515"/>
      <c r="D81" s="337" t="s">
        <v>260</v>
      </c>
      <c r="E81" s="67">
        <f>SUM(E82:E83)</f>
        <v>0</v>
      </c>
      <c r="F81" s="67">
        <f>SUM(F82:F83)</f>
        <v>0</v>
      </c>
      <c r="G81" s="67">
        <f>SUM(G82:G83)</f>
        <v>0</v>
      </c>
      <c r="H81" s="67">
        <f>SUM(H82:H83)</f>
        <v>0</v>
      </c>
      <c r="I81" s="76">
        <f>SUM(I82:I83)</f>
        <v>0</v>
      </c>
      <c r="J81" s="73">
        <f t="shared" si="2"/>
        <v>0</v>
      </c>
    </row>
    <row r="82" spans="2:11" ht="36.75" customHeight="1" x14ac:dyDescent="0.2">
      <c r="B82" s="510"/>
      <c r="C82" s="515"/>
      <c r="D82" s="295" t="s">
        <v>261</v>
      </c>
      <c r="E82" s="162"/>
      <c r="F82" s="162"/>
      <c r="G82" s="162"/>
      <c r="H82" s="162"/>
      <c r="I82" s="162"/>
      <c r="J82" s="73">
        <f t="shared" si="2"/>
        <v>0</v>
      </c>
    </row>
    <row r="83" spans="2:11" ht="36.75" customHeight="1" x14ac:dyDescent="0.2">
      <c r="B83" s="510"/>
      <c r="C83" s="515"/>
      <c r="D83" s="416" t="s">
        <v>262</v>
      </c>
      <c r="E83" s="162"/>
      <c r="F83" s="162"/>
      <c r="G83" s="162"/>
      <c r="H83" s="162"/>
      <c r="I83" s="162"/>
      <c r="J83" s="73">
        <f t="shared" si="2"/>
        <v>0</v>
      </c>
    </row>
    <row r="84" spans="2:11" ht="36.75" customHeight="1" x14ac:dyDescent="0.2">
      <c r="B84" s="510"/>
      <c r="C84" s="515"/>
      <c r="D84" s="416" t="s">
        <v>217</v>
      </c>
      <c r="E84" s="162"/>
      <c r="F84" s="162"/>
      <c r="G84" s="162"/>
      <c r="H84" s="162"/>
      <c r="I84" s="162"/>
      <c r="J84" s="73">
        <f t="shared" si="2"/>
        <v>0</v>
      </c>
    </row>
    <row r="85" spans="2:11" ht="36.75" customHeight="1" x14ac:dyDescent="0.2">
      <c r="B85" s="510"/>
      <c r="C85" s="515"/>
      <c r="D85" s="417" t="s">
        <v>275</v>
      </c>
      <c r="E85" s="67">
        <f>SUM(E86:E87)</f>
        <v>0</v>
      </c>
      <c r="F85" s="67">
        <f>SUM(F86:F87)</f>
        <v>0</v>
      </c>
      <c r="G85" s="67">
        <f>SUM(G86:G87)</f>
        <v>0</v>
      </c>
      <c r="H85" s="67">
        <f>SUM(H86:H87)</f>
        <v>0</v>
      </c>
      <c r="I85" s="76">
        <f>SUM(I86:I87)</f>
        <v>0</v>
      </c>
      <c r="J85" s="73">
        <f t="shared" si="2"/>
        <v>0</v>
      </c>
      <c r="K85" s="22"/>
    </row>
    <row r="86" spans="2:11" ht="36.75" customHeight="1" x14ac:dyDescent="0.2">
      <c r="B86" s="510"/>
      <c r="C86" s="515"/>
      <c r="D86" s="416" t="s">
        <v>177</v>
      </c>
      <c r="E86" s="162"/>
      <c r="F86" s="162"/>
      <c r="G86" s="162"/>
      <c r="H86" s="162"/>
      <c r="I86" s="162"/>
      <c r="J86" s="73">
        <f t="shared" si="2"/>
        <v>0</v>
      </c>
    </row>
    <row r="87" spans="2:11" ht="36.75" customHeight="1" x14ac:dyDescent="0.2">
      <c r="B87" s="510"/>
      <c r="C87" s="515"/>
      <c r="D87" s="416" t="s">
        <v>218</v>
      </c>
      <c r="E87" s="162"/>
      <c r="F87" s="162"/>
      <c r="G87" s="162"/>
      <c r="H87" s="162"/>
      <c r="I87" s="162"/>
      <c r="J87" s="73">
        <f t="shared" si="2"/>
        <v>0</v>
      </c>
    </row>
    <row r="88" spans="2:11" ht="36.75" customHeight="1" x14ac:dyDescent="0.2">
      <c r="B88" s="561"/>
      <c r="C88" s="560"/>
      <c r="D88" s="418" t="s">
        <v>297</v>
      </c>
      <c r="E88" s="162"/>
      <c r="F88" s="162"/>
      <c r="G88" s="162"/>
      <c r="H88" s="162"/>
      <c r="I88" s="162"/>
      <c r="J88" s="74">
        <f t="shared" si="2"/>
        <v>0</v>
      </c>
    </row>
    <row r="89" spans="2:11" ht="85.5" customHeight="1" thickBot="1" x14ac:dyDescent="0.25">
      <c r="B89" s="507"/>
      <c r="C89" s="560"/>
      <c r="D89" s="418" t="s">
        <v>246</v>
      </c>
      <c r="E89" s="162"/>
      <c r="F89" s="162"/>
      <c r="G89" s="162"/>
      <c r="H89" s="162"/>
      <c r="I89" s="162"/>
      <c r="J89" s="74">
        <f t="shared" si="2"/>
        <v>0</v>
      </c>
    </row>
    <row r="90" spans="2:11" ht="50.45" customHeight="1" thickBot="1" x14ac:dyDescent="0.25">
      <c r="B90" s="506">
        <v>2</v>
      </c>
      <c r="C90" s="529" t="s">
        <v>3</v>
      </c>
      <c r="D90" s="211" t="s">
        <v>252</v>
      </c>
      <c r="E90" s="214"/>
      <c r="F90" s="214"/>
      <c r="G90" s="214"/>
      <c r="H90" s="214"/>
      <c r="I90" s="214"/>
      <c r="J90" s="120">
        <f>SUM(E90:I90)</f>
        <v>0</v>
      </c>
    </row>
    <row r="91" spans="2:11" ht="50.45" customHeight="1" thickBot="1" x14ac:dyDescent="0.25">
      <c r="B91" s="562"/>
      <c r="C91" s="530"/>
      <c r="D91" s="363" t="s">
        <v>253</v>
      </c>
      <c r="E91" s="214"/>
      <c r="F91" s="214"/>
      <c r="G91" s="214"/>
      <c r="H91" s="214"/>
      <c r="I91" s="214"/>
      <c r="J91" s="362">
        <f>SUM(E91:I91)</f>
        <v>0</v>
      </c>
    </row>
    <row r="92" spans="2:11" ht="50.45" customHeight="1" thickBot="1" x14ac:dyDescent="0.25">
      <c r="B92" s="510"/>
      <c r="C92" s="530"/>
      <c r="D92" s="292" t="s">
        <v>254</v>
      </c>
      <c r="E92" s="214"/>
      <c r="F92" s="214"/>
      <c r="G92" s="214"/>
      <c r="H92" s="214"/>
      <c r="I92" s="214"/>
      <c r="J92" s="216">
        <f t="shared" si="2"/>
        <v>0</v>
      </c>
    </row>
    <row r="93" spans="2:11" ht="50.45" customHeight="1" thickBot="1" x14ac:dyDescent="0.25">
      <c r="B93" s="510"/>
      <c r="C93" s="530"/>
      <c r="D93" s="292" t="s">
        <v>242</v>
      </c>
      <c r="E93" s="214"/>
      <c r="F93" s="214"/>
      <c r="G93" s="214"/>
      <c r="H93" s="214"/>
      <c r="I93" s="214"/>
      <c r="J93" s="216">
        <f t="shared" si="2"/>
        <v>0</v>
      </c>
    </row>
    <row r="94" spans="2:11" ht="39.75" customHeight="1" thickBot="1" x14ac:dyDescent="0.25">
      <c r="B94" s="507"/>
      <c r="C94" s="531"/>
      <c r="D94" s="293" t="s">
        <v>243</v>
      </c>
      <c r="E94" s="214"/>
      <c r="F94" s="214"/>
      <c r="G94" s="214"/>
      <c r="H94" s="214"/>
      <c r="I94" s="214"/>
      <c r="J94" s="121">
        <f>SUM(E94:I94)</f>
        <v>0</v>
      </c>
    </row>
    <row r="95" spans="2:11" x14ac:dyDescent="0.2">
      <c r="H95" s="25"/>
      <c r="I95" s="245"/>
      <c r="J95" s="17"/>
    </row>
    <row r="97" spans="1:11" s="25" customFormat="1" ht="16.5" thickBot="1" x14ac:dyDescent="0.3">
      <c r="B97" s="64"/>
      <c r="C97" s="64"/>
      <c r="D97" s="64"/>
      <c r="E97" s="64"/>
      <c r="F97" s="64"/>
      <c r="G97" s="64"/>
      <c r="H97" s="64"/>
      <c r="I97" s="64"/>
      <c r="J97" s="64"/>
    </row>
    <row r="98" spans="1:11" ht="57.75" customHeight="1" thickBot="1" x14ac:dyDescent="0.25">
      <c r="B98" s="523" t="s">
        <v>152</v>
      </c>
      <c r="C98" s="524"/>
      <c r="D98" s="524"/>
      <c r="E98" s="524"/>
      <c r="F98" s="524"/>
      <c r="G98" s="524"/>
      <c r="H98" s="524"/>
      <c r="I98" s="524"/>
      <c r="J98" s="525"/>
    </row>
    <row r="99" spans="1:11" s="19" customFormat="1" ht="36" customHeight="1" thickBot="1" x14ac:dyDescent="0.3">
      <c r="B99" s="100" t="s">
        <v>9</v>
      </c>
      <c r="C99" s="100" t="s">
        <v>10</v>
      </c>
      <c r="D99" s="111" t="s">
        <v>11</v>
      </c>
      <c r="E99" s="100">
        <v>2019</v>
      </c>
      <c r="F99" s="100">
        <v>2020</v>
      </c>
      <c r="G99" s="116">
        <v>2021</v>
      </c>
      <c r="H99" s="100">
        <v>2022</v>
      </c>
      <c r="I99" s="111">
        <v>2023</v>
      </c>
      <c r="J99" s="117" t="s">
        <v>43</v>
      </c>
    </row>
    <row r="100" spans="1:11" ht="40.5" customHeight="1" x14ac:dyDescent="0.2">
      <c r="A100" s="247"/>
      <c r="B100" s="506">
        <v>1</v>
      </c>
      <c r="C100" s="558" t="s">
        <v>182</v>
      </c>
      <c r="D100" s="338" t="s">
        <v>181</v>
      </c>
      <c r="E100" s="186">
        <f>E55</f>
        <v>0</v>
      </c>
      <c r="F100" s="186">
        <f>F55</f>
        <v>0</v>
      </c>
      <c r="G100" s="186">
        <f>G55</f>
        <v>0</v>
      </c>
      <c r="H100" s="186">
        <f>H55</f>
        <v>0</v>
      </c>
      <c r="I100" s="186">
        <f>I55</f>
        <v>0</v>
      </c>
      <c r="J100" s="69">
        <f>SUM(E100:I100)</f>
        <v>0</v>
      </c>
    </row>
    <row r="101" spans="1:11" ht="40.5" customHeight="1" thickBot="1" x14ac:dyDescent="0.25">
      <c r="A101" s="247"/>
      <c r="B101" s="510"/>
      <c r="C101" s="559"/>
      <c r="D101" s="295" t="s">
        <v>219</v>
      </c>
      <c r="E101" s="162"/>
      <c r="F101" s="162"/>
      <c r="G101" s="162"/>
      <c r="H101" s="162"/>
      <c r="I101" s="162"/>
      <c r="J101" s="67">
        <f>SUM(E101:I101)</f>
        <v>0</v>
      </c>
    </row>
    <row r="102" spans="1:11" ht="40.5" customHeight="1" thickBot="1" x14ac:dyDescent="0.25">
      <c r="B102" s="296">
        <v>2</v>
      </c>
      <c r="C102" s="178" t="s">
        <v>23</v>
      </c>
      <c r="D102" s="298" t="s">
        <v>105</v>
      </c>
      <c r="E102" s="169"/>
      <c r="F102" s="169"/>
      <c r="G102" s="169"/>
      <c r="H102" s="169"/>
      <c r="I102" s="169"/>
      <c r="J102" s="297">
        <f>SUM(E102:I102)</f>
        <v>0</v>
      </c>
    </row>
    <row r="105" spans="1:11" ht="16.5" thickBot="1" x14ac:dyDescent="0.25">
      <c r="B105" s="64"/>
      <c r="C105" s="64"/>
      <c r="D105" s="64"/>
      <c r="E105" s="64"/>
      <c r="F105" s="64"/>
      <c r="G105" s="64"/>
      <c r="H105" s="64"/>
      <c r="I105" s="64"/>
      <c r="J105" s="64"/>
    </row>
    <row r="106" spans="1:11" ht="57.75" customHeight="1" thickBot="1" x14ac:dyDescent="0.3">
      <c r="B106" s="523" t="s">
        <v>147</v>
      </c>
      <c r="C106" s="524"/>
      <c r="D106" s="524"/>
      <c r="E106" s="524"/>
      <c r="F106" s="524"/>
      <c r="G106" s="524"/>
      <c r="H106" s="524"/>
      <c r="I106" s="524"/>
      <c r="J106" s="525"/>
      <c r="K106" s="246"/>
    </row>
    <row r="107" spans="1:11" s="19" customFormat="1" ht="36" customHeight="1" thickBot="1" x14ac:dyDescent="0.3">
      <c r="B107" s="100" t="s">
        <v>9</v>
      </c>
      <c r="C107" s="100" t="s">
        <v>10</v>
      </c>
      <c r="D107" s="299" t="s">
        <v>11</v>
      </c>
      <c r="E107" s="100">
        <v>2019</v>
      </c>
      <c r="F107" s="100">
        <v>2020</v>
      </c>
      <c r="G107" s="116">
        <v>2021</v>
      </c>
      <c r="H107" s="100">
        <v>2022</v>
      </c>
      <c r="I107" s="111">
        <v>2023</v>
      </c>
      <c r="J107" s="117" t="s">
        <v>43</v>
      </c>
      <c r="K107" s="33"/>
    </row>
    <row r="108" spans="1:11" ht="36.75" customHeight="1" x14ac:dyDescent="0.2">
      <c r="B108" s="517">
        <v>1</v>
      </c>
      <c r="C108" s="520" t="s">
        <v>278</v>
      </c>
      <c r="D108" s="420" t="s">
        <v>247</v>
      </c>
      <c r="E108" s="72">
        <f>SUM(E109:E110)</f>
        <v>0</v>
      </c>
      <c r="F108" s="72">
        <f>SUM(F109:F110)</f>
        <v>0</v>
      </c>
      <c r="G108" s="79">
        <f>SUM(G109:G110)</f>
        <v>0</v>
      </c>
      <c r="H108" s="72">
        <f>SUM(H109:H110)</f>
        <v>0</v>
      </c>
      <c r="I108" s="79">
        <f>SUM(I109:I110)</f>
        <v>0</v>
      </c>
      <c r="J108" s="72">
        <f>SUM(E108:I108)</f>
        <v>0</v>
      </c>
      <c r="K108" s="33"/>
    </row>
    <row r="109" spans="1:11" ht="36.75" customHeight="1" x14ac:dyDescent="0.2">
      <c r="B109" s="518"/>
      <c r="C109" s="521"/>
      <c r="D109" s="421" t="s">
        <v>249</v>
      </c>
      <c r="E109" s="162"/>
      <c r="F109" s="162"/>
      <c r="G109" s="162"/>
      <c r="H109" s="162"/>
      <c r="I109" s="162"/>
      <c r="J109" s="73">
        <f t="shared" ref="J109:J118" si="3">SUM(E109:I109)</f>
        <v>0</v>
      </c>
    </row>
    <row r="110" spans="1:11" ht="36.75" customHeight="1" x14ac:dyDescent="0.2">
      <c r="B110" s="518"/>
      <c r="C110" s="521"/>
      <c r="D110" s="421" t="s">
        <v>250</v>
      </c>
      <c r="E110" s="162"/>
      <c r="F110" s="162"/>
      <c r="G110" s="162"/>
      <c r="H110" s="162"/>
      <c r="I110" s="162"/>
      <c r="J110" s="73">
        <f t="shared" si="3"/>
        <v>0</v>
      </c>
    </row>
    <row r="111" spans="1:11" ht="36.75" customHeight="1" x14ac:dyDescent="0.2">
      <c r="B111" s="518"/>
      <c r="C111" s="521"/>
      <c r="D111" s="419" t="s">
        <v>248</v>
      </c>
      <c r="E111" s="73">
        <f>SUM(E112:E113)</f>
        <v>0</v>
      </c>
      <c r="F111" s="73">
        <f>SUM(F112:F113)</f>
        <v>0</v>
      </c>
      <c r="G111" s="80">
        <f>SUM(G112:G113)</f>
        <v>0</v>
      </c>
      <c r="H111" s="73">
        <f>SUM(H112:H113)</f>
        <v>0</v>
      </c>
      <c r="I111" s="80">
        <f>SUM(I112:I113)</f>
        <v>0</v>
      </c>
      <c r="J111" s="73">
        <f t="shared" si="3"/>
        <v>0</v>
      </c>
    </row>
    <row r="112" spans="1:11" ht="36.75" customHeight="1" x14ac:dyDescent="0.2">
      <c r="B112" s="518"/>
      <c r="C112" s="521"/>
      <c r="D112" s="421" t="s">
        <v>71</v>
      </c>
      <c r="E112" s="162"/>
      <c r="F112" s="162"/>
      <c r="G112" s="162"/>
      <c r="H112" s="162"/>
      <c r="I112" s="162"/>
      <c r="J112" s="73">
        <f t="shared" si="3"/>
        <v>0</v>
      </c>
    </row>
    <row r="113" spans="1:14" ht="36.75" customHeight="1" x14ac:dyDescent="0.2">
      <c r="B113" s="518"/>
      <c r="C113" s="521"/>
      <c r="D113" s="421" t="s">
        <v>72</v>
      </c>
      <c r="E113" s="162"/>
      <c r="F113" s="162"/>
      <c r="G113" s="162"/>
      <c r="H113" s="162"/>
      <c r="I113" s="162"/>
      <c r="J113" s="73">
        <f t="shared" si="3"/>
        <v>0</v>
      </c>
    </row>
    <row r="114" spans="1:14" ht="36.75" customHeight="1" x14ac:dyDescent="0.2">
      <c r="B114" s="518"/>
      <c r="C114" s="521"/>
      <c r="D114" s="416" t="s">
        <v>276</v>
      </c>
      <c r="E114" s="462"/>
      <c r="F114" s="462"/>
      <c r="G114" s="462"/>
      <c r="H114" s="462"/>
      <c r="I114" s="462"/>
      <c r="J114" s="73">
        <f t="shared" si="3"/>
        <v>0</v>
      </c>
      <c r="K114" s="35"/>
      <c r="L114" s="35"/>
      <c r="M114" s="35"/>
      <c r="N114" s="35"/>
    </row>
    <row r="115" spans="1:14" ht="36.75" customHeight="1" thickBot="1" x14ac:dyDescent="0.25">
      <c r="B115" s="519"/>
      <c r="C115" s="522"/>
      <c r="D115" s="422" t="s">
        <v>277</v>
      </c>
      <c r="E115" s="463"/>
      <c r="F115" s="463"/>
      <c r="G115" s="463"/>
      <c r="H115" s="463"/>
      <c r="I115" s="463"/>
      <c r="J115" s="75">
        <f>SUM(E115:I115)</f>
        <v>0</v>
      </c>
      <c r="K115" s="36"/>
      <c r="L115" s="36"/>
      <c r="M115" s="36"/>
      <c r="N115" s="36"/>
    </row>
    <row r="116" spans="1:14" ht="43.5" customHeight="1" thickBot="1" x14ac:dyDescent="0.25">
      <c r="A116" s="247"/>
      <c r="B116" s="37">
        <v>2</v>
      </c>
      <c r="C116" s="423" t="s">
        <v>0</v>
      </c>
      <c r="D116" s="424" t="s">
        <v>185</v>
      </c>
      <c r="E116" s="168"/>
      <c r="F116" s="168"/>
      <c r="G116" s="168"/>
      <c r="H116" s="168"/>
      <c r="I116" s="168"/>
      <c r="J116" s="77">
        <f t="shared" si="3"/>
        <v>0</v>
      </c>
    </row>
    <row r="117" spans="1:14" ht="43.5" customHeight="1" thickBot="1" x14ac:dyDescent="0.25">
      <c r="B117" s="182">
        <v>3</v>
      </c>
      <c r="C117" s="425" t="s">
        <v>279</v>
      </c>
      <c r="D117" s="426" t="s">
        <v>280</v>
      </c>
      <c r="E117" s="169"/>
      <c r="F117" s="169"/>
      <c r="G117" s="169"/>
      <c r="H117" s="169"/>
      <c r="I117" s="169"/>
      <c r="J117" s="78">
        <f>SUM(E117:I117)</f>
        <v>0</v>
      </c>
    </row>
    <row r="118" spans="1:14" ht="66.75" customHeight="1" thickBot="1" x14ac:dyDescent="0.25">
      <c r="B118" s="182">
        <v>4</v>
      </c>
      <c r="C118" s="427" t="s">
        <v>192</v>
      </c>
      <c r="D118" s="428" t="s">
        <v>206</v>
      </c>
      <c r="E118" s="169"/>
      <c r="F118" s="169"/>
      <c r="G118" s="169"/>
      <c r="H118" s="169"/>
      <c r="I118" s="169"/>
      <c r="J118" s="78">
        <f t="shared" si="3"/>
        <v>0</v>
      </c>
    </row>
    <row r="121" spans="1:14" ht="16.5" thickBot="1" x14ac:dyDescent="0.25">
      <c r="C121" s="64"/>
      <c r="D121" s="64"/>
      <c r="E121" s="64"/>
      <c r="F121" s="64"/>
      <c r="G121" s="64"/>
      <c r="H121" s="64"/>
      <c r="I121" s="64"/>
      <c r="J121" s="64"/>
    </row>
    <row r="122" spans="1:14" ht="57.75" customHeight="1" thickBot="1" x14ac:dyDescent="0.25">
      <c r="B122" s="523" t="s">
        <v>148</v>
      </c>
      <c r="C122" s="524"/>
      <c r="D122" s="524"/>
      <c r="E122" s="524"/>
      <c r="F122" s="524"/>
      <c r="G122" s="524"/>
      <c r="H122" s="524"/>
      <c r="I122" s="524"/>
      <c r="J122" s="525"/>
    </row>
    <row r="123" spans="1:14" ht="36" customHeight="1" thickBot="1" x14ac:dyDescent="0.25">
      <c r="B123" s="117" t="s">
        <v>8</v>
      </c>
      <c r="C123" s="300" t="s">
        <v>59</v>
      </c>
      <c r="D123" s="116" t="s">
        <v>60</v>
      </c>
      <c r="E123" s="100">
        <v>2019</v>
      </c>
      <c r="F123" s="100">
        <v>2020</v>
      </c>
      <c r="G123" s="116">
        <v>2021</v>
      </c>
      <c r="H123" s="100">
        <v>2022</v>
      </c>
      <c r="I123" s="111">
        <v>2023</v>
      </c>
      <c r="J123" s="117" t="s">
        <v>43</v>
      </c>
    </row>
    <row r="124" spans="1:14" ht="36" customHeight="1" thickBot="1" x14ac:dyDescent="0.25">
      <c r="B124" s="296">
        <v>1</v>
      </c>
      <c r="C124" s="301" t="s">
        <v>64</v>
      </c>
      <c r="D124" s="298" t="s">
        <v>266</v>
      </c>
      <c r="E124" s="170"/>
      <c r="F124" s="170"/>
      <c r="G124" s="170"/>
      <c r="H124" s="170"/>
      <c r="I124" s="170"/>
      <c r="J124" s="113">
        <f t="shared" ref="J124:J129" si="4">SUM(E124:I124)</f>
        <v>0</v>
      </c>
    </row>
    <row r="125" spans="1:14" ht="30.75" thickBot="1" x14ac:dyDescent="0.25">
      <c r="A125" s="247"/>
      <c r="B125" s="302">
        <v>2</v>
      </c>
      <c r="C125" s="438" t="s">
        <v>267</v>
      </c>
      <c r="D125" s="439" t="s">
        <v>268</v>
      </c>
      <c r="E125" s="170"/>
      <c r="F125" s="170"/>
      <c r="G125" s="170"/>
      <c r="H125" s="170"/>
      <c r="I125" s="170"/>
      <c r="J125" s="114">
        <f t="shared" si="4"/>
        <v>0</v>
      </c>
    </row>
    <row r="126" spans="1:14" ht="36" customHeight="1" x14ac:dyDescent="0.2">
      <c r="B126" s="554">
        <v>3</v>
      </c>
      <c r="C126" s="556" t="s">
        <v>281</v>
      </c>
      <c r="D126" s="440" t="s">
        <v>233</v>
      </c>
      <c r="E126" s="171"/>
      <c r="F126" s="171"/>
      <c r="G126" s="171"/>
      <c r="H126" s="171"/>
      <c r="I126" s="171"/>
      <c r="J126" s="81">
        <f t="shared" si="4"/>
        <v>0</v>
      </c>
      <c r="K126" s="33"/>
    </row>
    <row r="127" spans="1:14" ht="36" customHeight="1" thickBot="1" x14ac:dyDescent="0.25">
      <c r="B127" s="555"/>
      <c r="C127" s="557"/>
      <c r="D127" s="422" t="s">
        <v>269</v>
      </c>
      <c r="E127" s="167"/>
      <c r="F127" s="167"/>
      <c r="G127" s="167"/>
      <c r="H127" s="167"/>
      <c r="I127" s="167"/>
      <c r="J127" s="115">
        <f t="shared" si="4"/>
        <v>0</v>
      </c>
    </row>
    <row r="128" spans="1:14" ht="36" customHeight="1" thickBot="1" x14ac:dyDescent="0.25">
      <c r="A128" s="247"/>
      <c r="B128" s="296">
        <v>4</v>
      </c>
      <c r="C128" s="441" t="s">
        <v>271</v>
      </c>
      <c r="D128" s="439" t="s">
        <v>270</v>
      </c>
      <c r="E128" s="170"/>
      <c r="F128" s="170"/>
      <c r="G128" s="170"/>
      <c r="H128" s="170"/>
      <c r="I128" s="170"/>
      <c r="J128" s="114">
        <f t="shared" si="4"/>
        <v>0</v>
      </c>
    </row>
    <row r="129" spans="2:10" ht="49.5" customHeight="1" thickBot="1" x14ac:dyDescent="0.25">
      <c r="B129" s="296">
        <v>5</v>
      </c>
      <c r="C129" s="442" t="s">
        <v>30</v>
      </c>
      <c r="D129" s="428" t="s">
        <v>272</v>
      </c>
      <c r="E129" s="170"/>
      <c r="F129" s="170"/>
      <c r="G129" s="170"/>
      <c r="H129" s="170"/>
      <c r="I129" s="170"/>
      <c r="J129" s="113">
        <f t="shared" si="4"/>
        <v>0</v>
      </c>
    </row>
    <row r="130" spans="2:10" ht="15" customHeight="1" x14ac:dyDescent="0.2">
      <c r="B130" s="37"/>
      <c r="C130" s="32"/>
      <c r="D130" s="32"/>
      <c r="E130" s="38"/>
      <c r="F130" s="39"/>
      <c r="G130" s="25"/>
      <c r="H130" s="4"/>
      <c r="I130" s="4"/>
    </row>
    <row r="131" spans="2:10" ht="15" customHeight="1" x14ac:dyDescent="0.2">
      <c r="B131" s="37"/>
      <c r="C131" s="32"/>
      <c r="D131" s="32"/>
      <c r="E131" s="38"/>
      <c r="F131" s="39"/>
      <c r="G131" s="25"/>
      <c r="H131" s="4"/>
      <c r="I131" s="4"/>
    </row>
    <row r="132" spans="2:10" ht="15.75" thickBot="1" x14ac:dyDescent="0.25">
      <c r="B132" s="37"/>
      <c r="C132" s="21"/>
      <c r="D132" s="21"/>
      <c r="E132" s="21"/>
      <c r="F132" s="21"/>
      <c r="G132" s="21"/>
      <c r="H132" s="21"/>
      <c r="I132" s="21"/>
      <c r="J132" s="21"/>
    </row>
    <row r="133" spans="2:10" ht="57.75" customHeight="1" thickBot="1" x14ac:dyDescent="0.25">
      <c r="B133" s="523" t="s">
        <v>154</v>
      </c>
      <c r="C133" s="524"/>
      <c r="D133" s="524"/>
      <c r="E133" s="524"/>
      <c r="F133" s="524"/>
      <c r="G133" s="524"/>
      <c r="H133" s="524"/>
      <c r="I133" s="524"/>
      <c r="J133" s="525"/>
    </row>
    <row r="134" spans="2:10" ht="36" customHeight="1" thickBot="1" x14ac:dyDescent="0.25">
      <c r="B134" s="117" t="s">
        <v>8</v>
      </c>
      <c r="C134" s="300" t="s">
        <v>59</v>
      </c>
      <c r="D134" s="116" t="s">
        <v>60</v>
      </c>
      <c r="E134" s="100">
        <v>2018</v>
      </c>
      <c r="F134" s="100">
        <v>2019</v>
      </c>
      <c r="G134" s="116">
        <v>2020</v>
      </c>
      <c r="H134" s="100">
        <v>2021</v>
      </c>
      <c r="I134" s="111">
        <v>2022</v>
      </c>
      <c r="J134" s="117" t="s">
        <v>43</v>
      </c>
    </row>
    <row r="135" spans="2:10" ht="69.599999999999994" customHeight="1" x14ac:dyDescent="0.2">
      <c r="B135" s="429">
        <v>1</v>
      </c>
      <c r="C135" s="430" t="s">
        <v>298</v>
      </c>
      <c r="D135" s="431"/>
      <c r="E135" s="66">
        <f>SUM(E136:E137)</f>
        <v>0</v>
      </c>
      <c r="F135" s="66">
        <f>SUM(F136:F137)</f>
        <v>0</v>
      </c>
      <c r="G135" s="172">
        <f>SUM(G136:G137)</f>
        <v>0</v>
      </c>
      <c r="H135" s="66">
        <f>SUM(H136:H137)</f>
        <v>0</v>
      </c>
      <c r="I135" s="172">
        <f>SUM(I136:I137)</f>
        <v>0</v>
      </c>
      <c r="J135" s="88">
        <f>SUM(E135:I135)</f>
        <v>0</v>
      </c>
    </row>
    <row r="136" spans="2:10" ht="36" customHeight="1" x14ac:dyDescent="0.2">
      <c r="B136" s="432"/>
      <c r="C136" s="433"/>
      <c r="D136" s="434" t="s">
        <v>71</v>
      </c>
      <c r="E136" s="162"/>
      <c r="F136" s="162"/>
      <c r="G136" s="162"/>
      <c r="H136" s="162"/>
      <c r="I136" s="162"/>
      <c r="J136" s="87">
        <f t="shared" ref="J136:J142" si="5">SUM(E136:I136)</f>
        <v>0</v>
      </c>
    </row>
    <row r="137" spans="2:10" ht="36" customHeight="1" x14ac:dyDescent="0.2">
      <c r="B137" s="432"/>
      <c r="C137" s="433"/>
      <c r="D137" s="434" t="s">
        <v>72</v>
      </c>
      <c r="E137" s="162"/>
      <c r="F137" s="162"/>
      <c r="G137" s="162"/>
      <c r="H137" s="162"/>
      <c r="I137" s="162"/>
      <c r="J137" s="87">
        <f t="shared" si="5"/>
        <v>0</v>
      </c>
    </row>
    <row r="138" spans="2:10" ht="36" customHeight="1" x14ac:dyDescent="0.2">
      <c r="B138" s="432">
        <v>2</v>
      </c>
      <c r="C138" s="433" t="s">
        <v>284</v>
      </c>
      <c r="D138" s="434"/>
      <c r="E138" s="162"/>
      <c r="F138" s="162"/>
      <c r="G138" s="162"/>
      <c r="H138" s="162"/>
      <c r="I138" s="162"/>
      <c r="J138" s="87">
        <f t="shared" si="5"/>
        <v>0</v>
      </c>
    </row>
    <row r="139" spans="2:10" ht="48" customHeight="1" x14ac:dyDescent="0.2">
      <c r="B139" s="432">
        <v>3</v>
      </c>
      <c r="C139" s="433" t="s">
        <v>285</v>
      </c>
      <c r="D139" s="434"/>
      <c r="E139" s="162"/>
      <c r="F139" s="162"/>
      <c r="G139" s="162"/>
      <c r="H139" s="162"/>
      <c r="I139" s="162"/>
      <c r="J139" s="87">
        <f t="shared" si="5"/>
        <v>0</v>
      </c>
    </row>
    <row r="140" spans="2:10" ht="36" customHeight="1" x14ac:dyDescent="0.2">
      <c r="B140" s="432">
        <v>4</v>
      </c>
      <c r="C140" s="433" t="s">
        <v>286</v>
      </c>
      <c r="D140" s="434"/>
      <c r="E140" s="162"/>
      <c r="F140" s="162"/>
      <c r="G140" s="162"/>
      <c r="H140" s="162"/>
      <c r="I140" s="162"/>
      <c r="J140" s="87">
        <f t="shared" si="5"/>
        <v>0</v>
      </c>
    </row>
    <row r="141" spans="2:10" ht="36" customHeight="1" x14ac:dyDescent="0.2">
      <c r="B141" s="432">
        <v>5</v>
      </c>
      <c r="C141" s="433" t="s">
        <v>282</v>
      </c>
      <c r="D141" s="434"/>
      <c r="E141" s="162"/>
      <c r="F141" s="162"/>
      <c r="G141" s="162"/>
      <c r="H141" s="162"/>
      <c r="I141" s="162"/>
      <c r="J141" s="87">
        <f t="shared" si="5"/>
        <v>0</v>
      </c>
    </row>
    <row r="142" spans="2:10" ht="52.9" customHeight="1" thickBot="1" x14ac:dyDescent="0.25">
      <c r="B142" s="435">
        <v>6</v>
      </c>
      <c r="C142" s="436" t="s">
        <v>287</v>
      </c>
      <c r="D142" s="437"/>
      <c r="E142" s="163"/>
      <c r="F142" s="163"/>
      <c r="G142" s="163"/>
      <c r="H142" s="163"/>
      <c r="I142" s="163"/>
      <c r="J142" s="65">
        <f t="shared" si="5"/>
        <v>0</v>
      </c>
    </row>
    <row r="145" spans="2:10" ht="16.5" thickBot="1" x14ac:dyDescent="0.25">
      <c r="B145" s="64"/>
      <c r="C145" s="64"/>
      <c r="D145" s="64"/>
      <c r="E145" s="64"/>
      <c r="F145" s="64"/>
      <c r="G145" s="64"/>
      <c r="H145" s="64"/>
      <c r="I145" s="64"/>
      <c r="J145" s="64"/>
    </row>
    <row r="146" spans="2:10" ht="57.75" customHeight="1" thickBot="1" x14ac:dyDescent="0.25">
      <c r="B146" s="523" t="s">
        <v>153</v>
      </c>
      <c r="C146" s="524"/>
      <c r="D146" s="524"/>
      <c r="E146" s="524"/>
      <c r="F146" s="524"/>
      <c r="G146" s="524"/>
      <c r="H146" s="524"/>
      <c r="I146" s="524"/>
      <c r="J146" s="525"/>
    </row>
    <row r="147" spans="2:10" ht="36" customHeight="1" thickBot="1" x14ac:dyDescent="0.25">
      <c r="B147" s="306" t="s">
        <v>9</v>
      </c>
      <c r="C147" s="241" t="s">
        <v>10</v>
      </c>
      <c r="D147" s="303" t="s">
        <v>11</v>
      </c>
      <c r="E147" s="100">
        <v>2019</v>
      </c>
      <c r="F147" s="100">
        <v>2020</v>
      </c>
      <c r="G147" s="116">
        <v>2021</v>
      </c>
      <c r="H147" s="100">
        <v>2022</v>
      </c>
      <c r="I147" s="111">
        <v>2023</v>
      </c>
      <c r="J147" s="117" t="s">
        <v>43</v>
      </c>
    </row>
    <row r="148" spans="2:10" ht="39" customHeight="1" thickBot="1" x14ac:dyDescent="0.25">
      <c r="B148" s="307">
        <v>1</v>
      </c>
      <c r="C148" s="305" t="s">
        <v>65</v>
      </c>
      <c r="D148" s="304" t="s">
        <v>234</v>
      </c>
      <c r="E148" s="191"/>
      <c r="F148" s="355"/>
      <c r="G148" s="355"/>
      <c r="H148" s="355"/>
      <c r="I148" s="355"/>
      <c r="J148" s="248">
        <f>SUM(E148:I148)</f>
        <v>0</v>
      </c>
    </row>
    <row r="149" spans="2:10" ht="39" customHeight="1" thickBot="1" x14ac:dyDescent="0.25">
      <c r="B149" s="506">
        <v>2</v>
      </c>
      <c r="C149" s="514" t="s">
        <v>66</v>
      </c>
      <c r="D149" s="222" t="s">
        <v>73</v>
      </c>
      <c r="E149" s="169"/>
      <c r="F149" s="169"/>
      <c r="G149" s="169"/>
      <c r="H149" s="169"/>
      <c r="I149" s="169"/>
      <c r="J149" s="88">
        <f>SUM(E149:I149)</f>
        <v>0</v>
      </c>
    </row>
    <row r="150" spans="2:10" ht="39" customHeight="1" thickBot="1" x14ac:dyDescent="0.25">
      <c r="B150" s="510"/>
      <c r="C150" s="515"/>
      <c r="D150" s="504" t="s">
        <v>67</v>
      </c>
      <c r="E150" s="504"/>
      <c r="F150" s="504"/>
      <c r="G150" s="504"/>
      <c r="H150" s="504"/>
      <c r="I150" s="504"/>
      <c r="J150" s="505"/>
    </row>
    <row r="151" spans="2:10" ht="39" customHeight="1" thickBot="1" x14ac:dyDescent="0.25">
      <c r="B151" s="510"/>
      <c r="C151" s="515"/>
      <c r="D151" s="223" t="s">
        <v>74</v>
      </c>
      <c r="E151" s="169"/>
      <c r="F151" s="169"/>
      <c r="G151" s="169"/>
      <c r="H151" s="169"/>
      <c r="I151" s="169"/>
      <c r="J151" s="65">
        <f>SUM(E151:I151)</f>
        <v>0</v>
      </c>
    </row>
    <row r="152" spans="2:10" ht="39" customHeight="1" thickBot="1" x14ac:dyDescent="0.25">
      <c r="B152" s="510"/>
      <c r="C152" s="515"/>
      <c r="D152" s="504" t="s">
        <v>67</v>
      </c>
      <c r="E152" s="504"/>
      <c r="F152" s="504"/>
      <c r="G152" s="504"/>
      <c r="H152" s="504"/>
      <c r="I152" s="504"/>
      <c r="J152" s="505"/>
    </row>
    <row r="153" spans="2:10" ht="39" customHeight="1" x14ac:dyDescent="0.2">
      <c r="B153" s="510"/>
      <c r="C153" s="515"/>
      <c r="D153" s="224" t="s">
        <v>220</v>
      </c>
      <c r="E153" s="166"/>
      <c r="F153" s="166"/>
      <c r="G153" s="166"/>
      <c r="H153" s="166"/>
      <c r="I153" s="166"/>
      <c r="J153" s="129">
        <f>SUM(E153:I153)</f>
        <v>0</v>
      </c>
    </row>
    <row r="154" spans="2:10" ht="39" customHeight="1" thickBot="1" x14ac:dyDescent="0.25">
      <c r="B154" s="510"/>
      <c r="C154" s="515"/>
      <c r="D154" s="308" t="s">
        <v>221</v>
      </c>
      <c r="E154" s="309"/>
      <c r="F154" s="309"/>
      <c r="G154" s="309"/>
      <c r="H154" s="309"/>
      <c r="I154" s="309"/>
      <c r="J154" s="310">
        <f>SUM(E154:I154)</f>
        <v>0</v>
      </c>
    </row>
    <row r="155" spans="2:10" ht="39" customHeight="1" thickBot="1" x14ac:dyDescent="0.25">
      <c r="B155" s="510"/>
      <c r="C155" s="515"/>
      <c r="D155" s="526" t="s">
        <v>67</v>
      </c>
      <c r="E155" s="527"/>
      <c r="F155" s="527"/>
      <c r="G155" s="527"/>
      <c r="H155" s="527"/>
      <c r="I155" s="527"/>
      <c r="J155" s="528"/>
    </row>
    <row r="156" spans="2:10" ht="31.9" customHeight="1" thickBot="1" x14ac:dyDescent="0.25">
      <c r="B156" s="507"/>
      <c r="C156" s="516"/>
      <c r="D156" s="311" t="s">
        <v>169</v>
      </c>
      <c r="E156" s="312"/>
      <c r="F156" s="312"/>
      <c r="G156" s="312"/>
      <c r="H156" s="312"/>
      <c r="I156" s="312"/>
      <c r="J156" s="313">
        <f>IFERROR(IF(AVERAGE(E156:I156)&gt;1,1,AVERAGE(E156:I156)),0)</f>
        <v>0</v>
      </c>
    </row>
  </sheetData>
  <sheetProtection sheet="1" objects="1" scenarios="1"/>
  <protectedRanges>
    <protectedRange sqref="J5" name="Range1"/>
    <protectedRange sqref="E20:I21 E36:I37 E39:I40 E42:I43 E45:I46 E48:I49 E10:I13 E15:I18 E24:I29 E51:I56" name="Range2"/>
    <protectedRange sqref="E61:I67 E69:I72" name="Range3"/>
    <protectedRange sqref="E79:I80 E82:I84 E86:I94" name="Range4"/>
    <protectedRange sqref="E101:I102" name="Range5"/>
    <protectedRange sqref="E112:I113 E109:I110 E116:I118" name="Range6"/>
    <protectedRange sqref="E124:I129" name="Range7"/>
    <protectedRange sqref="E136:I142" name="Range8"/>
    <protectedRange sqref="E151:I151 E156:I156 E148:I149 E153:I154" name="Range9"/>
  </protectedRanges>
  <mergeCells count="40">
    <mergeCell ref="B100:B101"/>
    <mergeCell ref="C100:C101"/>
    <mergeCell ref="B98:J98"/>
    <mergeCell ref="C60:C65"/>
    <mergeCell ref="B76:J76"/>
    <mergeCell ref="C78:C89"/>
    <mergeCell ref="B78:B89"/>
    <mergeCell ref="B90:B94"/>
    <mergeCell ref="B146:J146"/>
    <mergeCell ref="B133:J133"/>
    <mergeCell ref="B2:J2"/>
    <mergeCell ref="B58:J58"/>
    <mergeCell ref="B3:J3"/>
    <mergeCell ref="B5:I5"/>
    <mergeCell ref="C29:C54"/>
    <mergeCell ref="B29:B54"/>
    <mergeCell ref="C55:C56"/>
    <mergeCell ref="B55:B56"/>
    <mergeCell ref="B7:J7"/>
    <mergeCell ref="B9:B28"/>
    <mergeCell ref="C9:C28"/>
    <mergeCell ref="B60:B65"/>
    <mergeCell ref="B126:B127"/>
    <mergeCell ref="C126:C127"/>
    <mergeCell ref="D152:J152"/>
    <mergeCell ref="D150:J150"/>
    <mergeCell ref="B66:B67"/>
    <mergeCell ref="C66:C67"/>
    <mergeCell ref="B68:B70"/>
    <mergeCell ref="C68:C70"/>
    <mergeCell ref="B71:B72"/>
    <mergeCell ref="C71:C72"/>
    <mergeCell ref="B149:B156"/>
    <mergeCell ref="C149:C156"/>
    <mergeCell ref="B108:B115"/>
    <mergeCell ref="C108:C115"/>
    <mergeCell ref="B122:J122"/>
    <mergeCell ref="B106:J106"/>
    <mergeCell ref="D155:J155"/>
    <mergeCell ref="C90:C94"/>
  </mergeCells>
  <conditionalFormatting sqref="E156:I156">
    <cfRule type="cellIs" dxfId="62" priority="1" stopIfTrue="1" operator="greaterThan">
      <formula>1</formula>
    </cfRule>
  </conditionalFormatting>
  <pageMargins left="0.7" right="0.7" top="0.75" bottom="0.75" header="0.3" footer="0.3"/>
  <pageSetup paperSize="9" scale="40" fitToHeight="0" orientation="portrait" horizontalDpi="1200" verticalDpi="1200" r:id="rId1"/>
  <rowBreaks count="2" manualBreakCount="2">
    <brk id="97" max="16383" man="1"/>
    <brk id="1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2:AD110"/>
  <sheetViews>
    <sheetView topLeftCell="B2" zoomScale="70" zoomScaleNormal="70" zoomScaleSheetLayoutView="40" zoomScalePageLayoutView="110" workbookViewId="0">
      <selection activeCell="D20" sqref="D20"/>
    </sheetView>
  </sheetViews>
  <sheetFormatPr defaultColWidth="11.42578125" defaultRowHeight="15.75" x14ac:dyDescent="0.2"/>
  <cols>
    <col min="1" max="1" width="5.7109375" style="17" hidden="1" customWidth="1"/>
    <col min="2" max="2" width="5.28515625" style="25" customWidth="1"/>
    <col min="3" max="3" width="28.7109375" style="17" customWidth="1"/>
    <col min="4" max="4" width="41.7109375" style="17" customWidth="1"/>
    <col min="5" max="7" width="13.28515625" style="17" customWidth="1"/>
    <col min="8" max="8" width="17.85546875" style="19" customWidth="1"/>
    <col min="9" max="9" width="18.42578125" style="25" customWidth="1"/>
    <col min="10" max="10" width="14.28515625" style="84" customWidth="1"/>
    <col min="11" max="15" width="14.28515625" style="25" customWidth="1"/>
    <col min="16" max="16" width="16" style="25" customWidth="1"/>
    <col min="17" max="26" width="11.42578125" style="17" hidden="1" customWidth="1"/>
    <col min="27" max="27" width="8.7109375" style="17" hidden="1" customWidth="1"/>
    <col min="28" max="28" width="8.28515625" style="17" hidden="1" customWidth="1"/>
    <col min="29" max="29" width="7.85546875" style="17" hidden="1" customWidth="1"/>
    <col min="30" max="30" width="9.5703125" style="17" hidden="1" customWidth="1"/>
    <col min="31" max="16384" width="11.42578125" style="17"/>
  </cols>
  <sheetData>
    <row r="2" spans="2:27" s="25" customFormat="1" ht="26.25" customHeight="1" x14ac:dyDescent="0.25">
      <c r="B2" s="613" t="s">
        <v>149</v>
      </c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</row>
    <row r="3" spans="2:27" s="25" customFormat="1" ht="26.25" customHeight="1" x14ac:dyDescent="0.25">
      <c r="B3" s="613" t="s">
        <v>58</v>
      </c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</row>
    <row r="4" spans="2:27" s="25" customFormat="1" ht="15.75" customHeight="1" x14ac:dyDescent="0.25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2:27" s="25" customFormat="1" ht="15.75" customHeight="1" thickBot="1" x14ac:dyDescent="0.3"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</row>
    <row r="6" spans="2:27" s="25" customFormat="1" ht="26.25" hidden="1" customHeight="1" x14ac:dyDescent="0.25">
      <c r="B6" s="31"/>
      <c r="C6" s="31"/>
      <c r="D6" s="31"/>
      <c r="E6" s="31"/>
      <c r="F6" s="31"/>
      <c r="G6" s="31"/>
      <c r="H6" s="31"/>
      <c r="I6" s="31"/>
      <c r="J6" s="4" t="s">
        <v>199</v>
      </c>
      <c r="K6" s="249">
        <f>'Data (Section A-H)'!E66+'Data (Section A-H)'!E67</f>
        <v>0</v>
      </c>
      <c r="L6" s="249">
        <f>'Data (Section A-H)'!F66+'Data (Section A-H)'!F67</f>
        <v>0</v>
      </c>
      <c r="M6" s="249">
        <f>'Data (Section A-H)'!G66+'Data (Section A-H)'!G67</f>
        <v>0</v>
      </c>
      <c r="N6" s="249">
        <f>'Data (Section A-H)'!H66+'Data (Section A-H)'!H67</f>
        <v>0</v>
      </c>
      <c r="O6" s="249">
        <f>'Data (Section A-H)'!I66+'Data (Section A-H)'!I67</f>
        <v>0</v>
      </c>
    </row>
    <row r="7" spans="2:27" s="25" customFormat="1" ht="26.25" hidden="1" customHeight="1" thickBot="1" x14ac:dyDescent="0.3">
      <c r="B7" s="64"/>
      <c r="C7" s="64"/>
      <c r="D7" s="64"/>
      <c r="E7" s="64"/>
      <c r="F7" s="64"/>
      <c r="G7" s="64"/>
      <c r="H7" s="64"/>
      <c r="I7" s="64"/>
      <c r="J7" s="4" t="s">
        <v>198</v>
      </c>
      <c r="K7" s="249">
        <f>'Data (Section A-H)'!E60</f>
        <v>0</v>
      </c>
      <c r="L7" s="249">
        <f>'Data (Section A-H)'!F60</f>
        <v>0</v>
      </c>
      <c r="M7" s="249">
        <f>'Data (Section A-H)'!G60</f>
        <v>0</v>
      </c>
      <c r="N7" s="249">
        <f>'Data (Section A-H)'!H60</f>
        <v>0</v>
      </c>
      <c r="O7" s="249">
        <f>'Data (Section A-H)'!I60</f>
        <v>0</v>
      </c>
    </row>
    <row r="8" spans="2:27" ht="36" customHeight="1" thickBot="1" x14ac:dyDescent="0.25">
      <c r="B8" s="563" t="s">
        <v>150</v>
      </c>
      <c r="C8" s="568"/>
      <c r="D8" s="568"/>
      <c r="E8" s="568"/>
      <c r="F8" s="568"/>
      <c r="G8" s="568"/>
      <c r="H8" s="568"/>
      <c r="I8" s="569"/>
      <c r="J8" s="369">
        <v>15</v>
      </c>
      <c r="K8" s="574" t="s">
        <v>165</v>
      </c>
      <c r="L8" s="568"/>
      <c r="M8" s="568"/>
      <c r="N8" s="568"/>
      <c r="O8" s="569"/>
      <c r="P8" s="570" t="s">
        <v>80</v>
      </c>
    </row>
    <row r="9" spans="2:27" s="19" customFormat="1" ht="41.25" customHeight="1" thickBot="1" x14ac:dyDescent="0.3">
      <c r="B9" s="104" t="s">
        <v>9</v>
      </c>
      <c r="C9" s="97" t="s">
        <v>10</v>
      </c>
      <c r="D9" s="96" t="s">
        <v>11</v>
      </c>
      <c r="E9" s="96" t="s">
        <v>12</v>
      </c>
      <c r="F9" s="96" t="s">
        <v>24</v>
      </c>
      <c r="G9" s="96" t="s">
        <v>28</v>
      </c>
      <c r="H9" s="97" t="s">
        <v>5</v>
      </c>
      <c r="I9" s="99" t="s">
        <v>21</v>
      </c>
      <c r="J9" s="100" t="s">
        <v>32</v>
      </c>
      <c r="K9" s="100">
        <v>2019</v>
      </c>
      <c r="L9" s="100">
        <v>2020</v>
      </c>
      <c r="M9" s="116">
        <v>2021</v>
      </c>
      <c r="N9" s="100">
        <v>2022</v>
      </c>
      <c r="O9" s="203">
        <v>2023</v>
      </c>
      <c r="P9" s="571"/>
      <c r="AA9" s="64"/>
    </row>
    <row r="10" spans="2:27" ht="33.75" customHeight="1" x14ac:dyDescent="0.25">
      <c r="B10" s="592">
        <v>1</v>
      </c>
      <c r="C10" s="594" t="s">
        <v>13</v>
      </c>
      <c r="D10" s="13" t="s">
        <v>26</v>
      </c>
      <c r="E10" s="583">
        <v>0.2</v>
      </c>
      <c r="F10" s="3">
        <v>1</v>
      </c>
      <c r="G10" s="587" t="s">
        <v>4</v>
      </c>
      <c r="H10" s="614" t="s">
        <v>6</v>
      </c>
      <c r="I10" s="188">
        <f>SUM(I11:I14)</f>
        <v>0.89999999999999991</v>
      </c>
      <c r="J10" s="187">
        <f>E10*F10*J8</f>
        <v>3</v>
      </c>
      <c r="K10" s="187"/>
      <c r="L10" s="187"/>
      <c r="M10" s="187"/>
      <c r="N10" s="187"/>
      <c r="O10" s="187"/>
      <c r="P10" s="189"/>
      <c r="AA10" s="246"/>
    </row>
    <row r="11" spans="2:27" ht="20.25" customHeight="1" x14ac:dyDescent="0.2">
      <c r="B11" s="602"/>
      <c r="C11" s="601"/>
      <c r="D11" s="7" t="s">
        <v>17</v>
      </c>
      <c r="E11" s="584"/>
      <c r="F11" s="12">
        <v>0.15</v>
      </c>
      <c r="G11" s="618"/>
      <c r="H11" s="615"/>
      <c r="I11" s="250">
        <v>0.2</v>
      </c>
      <c r="J11" s="225">
        <f>E10*F11*J8</f>
        <v>0.44999999999999996</v>
      </c>
      <c r="K11" s="107">
        <f>IF(K$7&gt;'Data (Section A-H)'!E9,0,IFERROR((MIN('Data (Section A-H)'!E61/($I$11*'Data (Section A-H)'!E9)*$J$11,$J$11*2)),0))</f>
        <v>0</v>
      </c>
      <c r="L11" s="107">
        <f>IF(L$7&gt;'Data (Section A-H)'!F9,0,IFERROR((MIN('Data (Section A-H)'!F61/($I$11*'Data (Section A-H)'!F9)*$J$11,$J$11*2)),0))</f>
        <v>0</v>
      </c>
      <c r="M11" s="107">
        <f>IF(M$7&gt;'Data (Section A-H)'!G9,0,IFERROR((MIN('Data (Section A-H)'!G61/($I$11*'Data (Section A-H)'!G9)*$J$11,$J$11*2)),0))</f>
        <v>0</v>
      </c>
      <c r="N11" s="107">
        <f>IF(N$7&gt;'Data (Section A-H)'!H9,0,IFERROR((MIN('Data (Section A-H)'!H61/($I$11*'Data (Section A-H)'!H9)*$J$11,$J$11*2)),0))</f>
        <v>0</v>
      </c>
      <c r="O11" s="107">
        <f>IF(O$7&gt;'Data (Section A-H)'!I9,0,IFERROR((MIN('Data (Section A-H)'!I61/($I$11*'Data (Section A-H)'!I9)*$J$11,$J$11*2)),0))</f>
        <v>0</v>
      </c>
      <c r="P11" s="107">
        <f t="shared" ref="P11:P17" si="0">AVERAGE(K11:O11)</f>
        <v>0</v>
      </c>
    </row>
    <row r="12" spans="2:27" ht="20.25" customHeight="1" x14ac:dyDescent="0.2">
      <c r="B12" s="602"/>
      <c r="C12" s="601"/>
      <c r="D12" s="7" t="s">
        <v>16</v>
      </c>
      <c r="E12" s="584"/>
      <c r="F12" s="12">
        <v>0.35</v>
      </c>
      <c r="G12" s="618"/>
      <c r="H12" s="615"/>
      <c r="I12" s="250">
        <v>0.3</v>
      </c>
      <c r="J12" s="225">
        <f>E10*F12*J8</f>
        <v>1.0499999999999998</v>
      </c>
      <c r="K12" s="107">
        <f>IF(K$7&gt;'Data (Section A-H)'!E9,0,IFERROR((MIN('Data (Section A-H)'!E62/($I$12*'Data (Section A-H)'!E9)*$J$12,$J$12*2)),0))</f>
        <v>0</v>
      </c>
      <c r="L12" s="107">
        <f>IF(L$7&gt;'Data (Section A-H)'!F9,0,IFERROR((MIN('Data (Section A-H)'!F62/($I$12*'Data (Section A-H)'!F9)*$J$12,$J$12*2)),0))</f>
        <v>0</v>
      </c>
      <c r="M12" s="107">
        <f>IF(M$7&gt;'Data (Section A-H)'!G9,0,IFERROR((MIN('Data (Section A-H)'!G62/($I$12*'Data (Section A-H)'!G9)*$J$12,$J$12*2)),0))</f>
        <v>0</v>
      </c>
      <c r="N12" s="107">
        <f>IF(N$7&gt;'Data (Section A-H)'!H9,0,IFERROR((MIN('Data (Section A-H)'!H62/($I$12*'Data (Section A-H)'!H9)*$J$12,$J$12*2)),0))</f>
        <v>0</v>
      </c>
      <c r="O12" s="107">
        <f>IF(O$7&gt;'Data (Section A-H)'!I9,0,IFERROR((MIN('Data (Section A-H)'!I62/($I$12*'Data (Section A-H)'!I9)*$J$12,$J$12*2)),0))</f>
        <v>0</v>
      </c>
      <c r="P12" s="107">
        <f t="shared" si="0"/>
        <v>0</v>
      </c>
    </row>
    <row r="13" spans="2:27" ht="20.25" customHeight="1" x14ac:dyDescent="0.2">
      <c r="B13" s="602"/>
      <c r="C13" s="601"/>
      <c r="D13" s="7" t="s">
        <v>27</v>
      </c>
      <c r="E13" s="584"/>
      <c r="F13" s="12">
        <v>0.2</v>
      </c>
      <c r="G13" s="618"/>
      <c r="H13" s="615"/>
      <c r="I13" s="250">
        <v>0.2</v>
      </c>
      <c r="J13" s="225">
        <f>E10*F13*J8</f>
        <v>0.60000000000000009</v>
      </c>
      <c r="K13" s="107">
        <f>IF(K$7&gt;'Data (Section A-H)'!E9,0,IFERROR((MIN('Data (Section A-H)'!E63/($I$13*'Data (Section A-H)'!E9)*$J$13,$J$13*2)),0))</f>
        <v>0</v>
      </c>
      <c r="L13" s="107">
        <f>IF(L$7&gt;'Data (Section A-H)'!F9,0,IFERROR((MIN('Data (Section A-H)'!F63/($I$13*'Data (Section A-H)'!F9)*$J$13,$J$13*2)),0))</f>
        <v>0</v>
      </c>
      <c r="M13" s="107">
        <f>IF(M$7&gt;'Data (Section A-H)'!G9,0,IFERROR((MIN('Data (Section A-H)'!G63/($I$13*'Data (Section A-H)'!G9)*$J$13,$J$13*2)),0))</f>
        <v>0</v>
      </c>
      <c r="N13" s="107">
        <f>IF(N$7&gt;'Data (Section A-H)'!H9,0,IFERROR((MIN('Data (Section A-H)'!H63/($I$13*'Data (Section A-H)'!H9)*$J$13,$J$13*2)),0))</f>
        <v>0</v>
      </c>
      <c r="O13" s="107">
        <f>IF(O$7&gt;'Data (Section A-H)'!I9,0,IFERROR((MIN('Data (Section A-H)'!I63/($I$13*'Data (Section A-H)'!I9)*$J$13,$J$13*2)),0))</f>
        <v>0</v>
      </c>
      <c r="P13" s="107">
        <f t="shared" si="0"/>
        <v>0</v>
      </c>
    </row>
    <row r="14" spans="2:27" ht="20.25" customHeight="1" x14ac:dyDescent="0.2">
      <c r="B14" s="602"/>
      <c r="C14" s="601"/>
      <c r="D14" s="26" t="s">
        <v>20</v>
      </c>
      <c r="E14" s="584"/>
      <c r="F14" s="5">
        <v>0.3</v>
      </c>
      <c r="G14" s="618"/>
      <c r="H14" s="615"/>
      <c r="I14" s="89">
        <v>0.2</v>
      </c>
      <c r="J14" s="340">
        <f>E10*F14*J8</f>
        <v>0.89999999999999991</v>
      </c>
      <c r="K14" s="108">
        <f>IF(K$7&gt;'Data (Section A-H)'!E9,0,IFERROR((MIN('Data (Section A-H)'!E64/($I$14*'Data (Section A-H)'!E9)*$J$14,$J$14*2)),0))</f>
        <v>0</v>
      </c>
      <c r="L14" s="108">
        <f>IF(L$7&gt;'Data (Section A-H)'!F9,0,IFERROR((MIN('Data (Section A-H)'!F64/($I$14*'Data (Section A-H)'!F9)*$J$14,$J$14*2)),0))</f>
        <v>0</v>
      </c>
      <c r="M14" s="108">
        <f>IF(M$7&gt;'Data (Section A-H)'!G9,0,IFERROR((MIN('Data (Section A-H)'!G64/($I$14*'Data (Section A-H)'!G9)*$J$14,$J$14*2)),0))</f>
        <v>0</v>
      </c>
      <c r="N14" s="108">
        <f>IF(N$7&gt;'Data (Section A-H)'!H9,0,IFERROR((MIN('Data (Section A-H)'!H64/($I$14*'Data (Section A-H)'!H9)*$J$14,$J$14*2)),0))</f>
        <v>0</v>
      </c>
      <c r="O14" s="108">
        <f>IF(O$7&gt;'Data (Section A-H)'!I9,0,IFERROR((MIN('Data (Section A-H)'!I64/($I$14*'Data (Section A-H)'!I9)*$J$14,$J$14*2)),0))</f>
        <v>0</v>
      </c>
      <c r="P14" s="108">
        <f t="shared" si="0"/>
        <v>0</v>
      </c>
    </row>
    <row r="15" spans="2:27" ht="54" customHeight="1" thickBot="1" x14ac:dyDescent="0.25">
      <c r="B15" s="602"/>
      <c r="C15" s="601"/>
      <c r="D15" s="8" t="s">
        <v>172</v>
      </c>
      <c r="E15" s="48">
        <v>0.2</v>
      </c>
      <c r="F15" s="11">
        <v>1</v>
      </c>
      <c r="G15" s="619"/>
      <c r="H15" s="11" t="s">
        <v>6</v>
      </c>
      <c r="I15" s="345">
        <v>0.9</v>
      </c>
      <c r="J15" s="346">
        <f>E15*F15*J8</f>
        <v>3</v>
      </c>
      <c r="K15" s="123">
        <f>IF('Data (Section A-H)'!E65&gt;'Data (Section A-H)'!L$14,0,IFERROR((MIN('Data (Section A-H)'!E65/($I$15*'Data (Section A-H)'!L$14)*$J$15,$J$15*2)),0))</f>
        <v>0</v>
      </c>
      <c r="L15" s="123">
        <f>IF('Data (Section A-H)'!F65&gt;'Data (Section A-H)'!M$14,0,IFERROR((MIN('Data (Section A-H)'!F65/($I$15*'Data (Section A-H)'!M$14)*$J$15,$J$15*2)),0))</f>
        <v>0</v>
      </c>
      <c r="M15" s="123">
        <f>IF('Data (Section A-H)'!G65&gt;'Data (Section A-H)'!N$14,0,IFERROR((MIN('Data (Section A-H)'!G65/($I$15*'Data (Section A-H)'!N$14)*$J$15,$J$15*2)),0))</f>
        <v>0</v>
      </c>
      <c r="N15" s="123">
        <f>IF('Data (Section A-H)'!H65&gt;'Data (Section A-H)'!O$14,0,IFERROR((MIN('Data (Section A-H)'!H65/($I$15*'Data (Section A-H)'!O$14)*$J$15,$J$15*2)),0))</f>
        <v>0</v>
      </c>
      <c r="O15" s="123">
        <f>IF('Data (Section A-H)'!I65&gt;'Data (Section A-H)'!P$14,0,IFERROR((MIN('Data (Section A-H)'!I65/($I$15*'Data (Section A-H)'!P$14)*$J$15,$J$15*2)),0))</f>
        <v>0</v>
      </c>
      <c r="P15" s="123">
        <f>AVERAGE(K15:O15)</f>
        <v>0</v>
      </c>
    </row>
    <row r="16" spans="2:27" ht="33" customHeight="1" x14ac:dyDescent="0.2">
      <c r="B16" s="592">
        <v>2</v>
      </c>
      <c r="C16" s="616" t="s">
        <v>25</v>
      </c>
      <c r="D16" s="20" t="s">
        <v>187</v>
      </c>
      <c r="E16" s="585">
        <v>0.1</v>
      </c>
      <c r="F16" s="252">
        <v>0.8</v>
      </c>
      <c r="G16" s="587" t="s">
        <v>4</v>
      </c>
      <c r="H16" s="201" t="s">
        <v>6</v>
      </c>
      <c r="I16" s="264">
        <v>0.7</v>
      </c>
      <c r="J16" s="341">
        <f>E16*F16*J8</f>
        <v>1.2000000000000002</v>
      </c>
      <c r="K16" s="342">
        <f>IF(K$6&gt;'Data (Section A-H)'!E9,0,IFERROR((MIN('Data (Section A-H)'!E66/($I$16*'Data (Section A-H)'!E9)*$J$16,$J$16*2)),0))</f>
        <v>0</v>
      </c>
      <c r="L16" s="342">
        <f>IF(L$6&gt;'Data (Section A-H)'!F9,0,IFERROR((MIN('Data (Section A-H)'!F66/($I$16*'Data (Section A-H)'!F9)*$J$16,$J$16*2)),0))</f>
        <v>0</v>
      </c>
      <c r="M16" s="342">
        <f>IF(M$6&gt;'Data (Section A-H)'!G9,0,IFERROR((MIN('Data (Section A-H)'!G66/($I$16*'Data (Section A-H)'!G9)*$J$16,$J$16*2)),0))</f>
        <v>0</v>
      </c>
      <c r="N16" s="342">
        <f>IF(N$6&gt;'Data (Section A-H)'!H9,0,IFERROR((MIN('Data (Section A-H)'!H66/($I$16*'Data (Section A-H)'!H9)*$J$16,$J$16*2)),0))</f>
        <v>0</v>
      </c>
      <c r="O16" s="342">
        <f>IF(O$6&gt;'Data (Section A-H)'!I9,0,IFERROR((MIN('Data (Section A-H)'!I66/($I$16*'Data (Section A-H)'!I9)*$J$16,$J$16*2)),0))</f>
        <v>0</v>
      </c>
      <c r="P16" s="343">
        <f t="shared" si="0"/>
        <v>0</v>
      </c>
    </row>
    <row r="17" spans="2:28" ht="66.75" customHeight="1" thickBot="1" x14ac:dyDescent="0.25">
      <c r="B17" s="593"/>
      <c r="C17" s="617"/>
      <c r="D17" s="8" t="s">
        <v>274</v>
      </c>
      <c r="E17" s="586"/>
      <c r="F17" s="11">
        <v>0.2</v>
      </c>
      <c r="G17" s="588"/>
      <c r="H17" s="10" t="s">
        <v>6</v>
      </c>
      <c r="I17" s="251">
        <v>0.2</v>
      </c>
      <c r="J17" s="227">
        <f>E16*F17*J8</f>
        <v>0.30000000000000004</v>
      </c>
      <c r="K17" s="126">
        <f>IF(K$6&gt;'Data (Section A-H)'!E9,0,IFERROR((MIN('Data (Section A-H)'!E67/($I$17*'Data (Section A-H)'!E9)*$J$17,$J$17*2)),0))</f>
        <v>0</v>
      </c>
      <c r="L17" s="126">
        <f>IF(L$6&gt;'Data (Section A-H)'!F9,0,IFERROR((MIN('Data (Section A-H)'!F67/($I$17*'Data (Section A-H)'!F9)*$J$17,$J$17*2)),0))</f>
        <v>0</v>
      </c>
      <c r="M17" s="126">
        <f>IF(M$6&gt;'Data (Section A-H)'!G9,0,IFERROR((MIN('Data (Section A-H)'!G67/($I$17*'Data (Section A-H)'!G9)*$J$17,$J$17*2)),0))</f>
        <v>0</v>
      </c>
      <c r="N17" s="126">
        <f>IF(N$6&gt;'Data (Section A-H)'!H9,0,IFERROR((MIN('Data (Section A-H)'!H67/($I$17*'Data (Section A-H)'!H9)*$J$17,$J$17*2)),0))</f>
        <v>0</v>
      </c>
      <c r="O17" s="126">
        <f>IF(O$6&gt;'Data (Section A-H)'!I9,0,IFERROR((MIN('Data (Section A-H)'!I67/($I$17*'Data (Section A-H)'!I9)*$J$17,$J$17*2)),0))</f>
        <v>0</v>
      </c>
      <c r="P17" s="123">
        <f t="shared" si="0"/>
        <v>0</v>
      </c>
    </row>
    <row r="18" spans="2:28" ht="20.25" customHeight="1" x14ac:dyDescent="0.2">
      <c r="B18" s="598">
        <v>3</v>
      </c>
      <c r="C18" s="601" t="s">
        <v>204</v>
      </c>
      <c r="D18" s="444" t="s">
        <v>33</v>
      </c>
      <c r="E18" s="585">
        <v>0.2</v>
      </c>
      <c r="F18" s="252">
        <v>1</v>
      </c>
      <c r="G18" s="587" t="s">
        <v>4</v>
      </c>
      <c r="H18" s="589" t="s">
        <v>6</v>
      </c>
      <c r="I18" s="253">
        <v>1</v>
      </c>
      <c r="J18" s="187">
        <f>E18*F18*J8</f>
        <v>3</v>
      </c>
      <c r="K18" s="187"/>
      <c r="L18" s="254"/>
      <c r="M18" s="187"/>
      <c r="N18" s="254"/>
      <c r="O18" s="187"/>
      <c r="P18" s="190"/>
    </row>
    <row r="19" spans="2:28" ht="20.25" customHeight="1" x14ac:dyDescent="0.2">
      <c r="B19" s="599"/>
      <c r="C19" s="601"/>
      <c r="D19" s="445" t="s">
        <v>311</v>
      </c>
      <c r="E19" s="584"/>
      <c r="F19" s="12">
        <v>0.5</v>
      </c>
      <c r="G19" s="615"/>
      <c r="H19" s="589"/>
      <c r="I19" s="255">
        <v>60</v>
      </c>
      <c r="J19" s="225">
        <f>E18*F19*J8</f>
        <v>1.5</v>
      </c>
      <c r="K19" s="107">
        <f>IF(('Data (Section A-H)'!E69+'Data (Section A-H)'!E70)&gt;'Data (Section A-H)'!E9,0,IFERROR($J$19-V19*$J$19/25,0))</f>
        <v>0</v>
      </c>
      <c r="L19" s="107">
        <f>IF(('Data (Section A-H)'!F69+'Data (Section A-H)'!F70)&gt;'Data (Section A-H)'!F9,0,IFERROR($J$19-W19*$J$19/25,0))</f>
        <v>0</v>
      </c>
      <c r="M19" s="107">
        <f>IF(('Data (Section A-H)'!G69+'Data (Section A-H)'!G70)&gt;'Data (Section A-H)'!G9,0,IFERROR($J$19-X19*$J$19/25,0))</f>
        <v>0</v>
      </c>
      <c r="N19" s="107">
        <f>IF(('Data (Section A-H)'!H69+'Data (Section A-H)'!H70)&gt;'Data (Section A-H)'!H9,0,IFERROR($J$19-Y19*$J$19/25,0))</f>
        <v>0</v>
      </c>
      <c r="O19" s="107">
        <f>IF(('Data (Section A-H)'!I69+'Data (Section A-H)'!I70)&gt;'Data (Section A-H)'!I9,0,IFERROR($J$19-Z19*$J$19/25,0))</f>
        <v>0</v>
      </c>
      <c r="P19" s="107">
        <f>AVERAGE(K19:O19)</f>
        <v>0</v>
      </c>
      <c r="Q19" s="256" t="e">
        <f>'Data (Section A-H)'!E69/'Data (Section A-H)'!E9*100</f>
        <v>#DIV/0!</v>
      </c>
      <c r="R19" s="257" t="e">
        <f>'Data (Section A-H)'!F69/'Data (Section A-H)'!F9*100</f>
        <v>#DIV/0!</v>
      </c>
      <c r="S19" s="257" t="e">
        <f>'Data (Section A-H)'!G69/'Data (Section A-H)'!G9*100</f>
        <v>#DIV/0!</v>
      </c>
      <c r="T19" s="257" t="e">
        <f>'Data (Section A-H)'!H69/'Data (Section A-H)'!H9*100</f>
        <v>#DIV/0!</v>
      </c>
      <c r="U19" s="257" t="e">
        <f>'Data (Section A-H)'!I69/'Data (Section A-H)'!I9*100</f>
        <v>#DIV/0!</v>
      </c>
      <c r="V19" s="257" t="e">
        <f>+MIN(25,ABS(Q19-$I$19))</f>
        <v>#DIV/0!</v>
      </c>
      <c r="W19" s="257" t="e">
        <f>+MIN(25,ABS(R19-$I$19))</f>
        <v>#DIV/0!</v>
      </c>
      <c r="X19" s="257" t="e">
        <f>+MIN(25,ABS(S19-$I$19))</f>
        <v>#DIV/0!</v>
      </c>
      <c r="Y19" s="257" t="e">
        <f>+MIN(25,ABS(T19-$I$19))</f>
        <v>#DIV/0!</v>
      </c>
      <c r="Z19" s="257" t="e">
        <f>+MIN(25,ABS(U19-$I$19))</f>
        <v>#DIV/0!</v>
      </c>
    </row>
    <row r="20" spans="2:28" ht="30" customHeight="1" thickBot="1" x14ac:dyDescent="0.25">
      <c r="B20" s="600"/>
      <c r="C20" s="595"/>
      <c r="D20" s="460" t="s">
        <v>288</v>
      </c>
      <c r="E20" s="586"/>
      <c r="F20" s="9">
        <v>0.5</v>
      </c>
      <c r="G20" s="588"/>
      <c r="H20" s="590"/>
      <c r="I20" s="258">
        <v>40</v>
      </c>
      <c r="J20" s="279">
        <f>E18*F20*J8</f>
        <v>1.5</v>
      </c>
      <c r="K20" s="107">
        <f>IFERROR($J$20-V20*$J$20/25,0)</f>
        <v>0</v>
      </c>
      <c r="L20" s="107">
        <f>IFERROR($J$20-W20*$J$20/25,0)</f>
        <v>0</v>
      </c>
      <c r="M20" s="107">
        <f>IFERROR($J$20-X20*$J$20/25,0)</f>
        <v>0</v>
      </c>
      <c r="N20" s="107">
        <f>IFERROR($J$20-Y20*$J$20/25,0)</f>
        <v>0</v>
      </c>
      <c r="O20" s="107">
        <f>IFERROR($J$20-Z20*$J$20/25,0)</f>
        <v>0</v>
      </c>
      <c r="P20" s="107">
        <f>AVERAGE(K20:O20)</f>
        <v>0</v>
      </c>
      <c r="Q20" s="256" t="e">
        <f>'Data (Section A-H)'!E70/'Data (Section A-H)'!E9*100</f>
        <v>#DIV/0!</v>
      </c>
      <c r="R20" s="257" t="e">
        <f>'Data (Section A-H)'!F70/'Data (Section A-H)'!F9*100</f>
        <v>#DIV/0!</v>
      </c>
      <c r="S20" s="257" t="e">
        <f>'Data (Section A-H)'!G70/'Data (Section A-H)'!G9*100</f>
        <v>#DIV/0!</v>
      </c>
      <c r="T20" s="257" t="e">
        <f>'Data (Section A-H)'!H70/'Data (Section A-H)'!H9*100</f>
        <v>#DIV/0!</v>
      </c>
      <c r="U20" s="257" t="e">
        <f>'Data (Section A-H)'!I70/'Data (Section A-H)'!I9*100</f>
        <v>#DIV/0!</v>
      </c>
      <c r="V20" s="257" t="e">
        <f>MIN(25,ABS(Q20-$I$20))</f>
        <v>#DIV/0!</v>
      </c>
      <c r="W20" s="257" t="e">
        <f>MIN(25,ABS(R20-$I$20))</f>
        <v>#DIV/0!</v>
      </c>
      <c r="X20" s="257" t="e">
        <f>MIN(25,ABS(S20-$I$20))</f>
        <v>#DIV/0!</v>
      </c>
      <c r="Y20" s="257" t="e">
        <f>MIN(25,ABS(T20-$I$20))</f>
        <v>#DIV/0!</v>
      </c>
      <c r="Z20" s="257" t="e">
        <f>MIN(25,ABS(U20-$I$20))</f>
        <v>#DIV/0!</v>
      </c>
      <c r="AA20" s="4"/>
      <c r="AB20" s="4"/>
    </row>
    <row r="21" spans="2:28" ht="63" customHeight="1" x14ac:dyDescent="0.2">
      <c r="B21" s="592">
        <v>4</v>
      </c>
      <c r="C21" s="594" t="s">
        <v>29</v>
      </c>
      <c r="D21" s="446" t="s">
        <v>188</v>
      </c>
      <c r="E21" s="583">
        <v>0.3</v>
      </c>
      <c r="F21" s="14">
        <v>0.5</v>
      </c>
      <c r="G21" s="587" t="s">
        <v>4</v>
      </c>
      <c r="H21" s="15" t="s">
        <v>158</v>
      </c>
      <c r="I21" s="47">
        <v>2</v>
      </c>
      <c r="J21" s="226">
        <f>E21*F21*J8</f>
        <v>2.25</v>
      </c>
      <c r="K21" s="107">
        <f>IFERROR(('Data (Section A-H)'!E71/$I$21*$J$21),0)</f>
        <v>0</v>
      </c>
      <c r="L21" s="107">
        <f>IFERROR(('Data (Section A-H)'!F71/$I$21*$J$21),0)</f>
        <v>0</v>
      </c>
      <c r="M21" s="107">
        <f>IFERROR(('Data (Section A-H)'!G71/$I$21*$J$21),0)</f>
        <v>0</v>
      </c>
      <c r="N21" s="107">
        <f>IFERROR(('Data (Section A-H)'!H71/$I$21*$J$21),0)</f>
        <v>0</v>
      </c>
      <c r="O21" s="107">
        <f>IFERROR(('Data (Section A-H)'!I71/$I$21*$J$21),0)</f>
        <v>0</v>
      </c>
      <c r="P21" s="107">
        <f>IF(AVERAGE(K21:O21)&gt;=J21*2,J21*2,AVERAGE(K21:O21))</f>
        <v>0</v>
      </c>
      <c r="AA21" s="25"/>
      <c r="AB21" s="25"/>
    </row>
    <row r="22" spans="2:28" ht="63" customHeight="1" thickBot="1" x14ac:dyDescent="0.25">
      <c r="B22" s="593"/>
      <c r="C22" s="595"/>
      <c r="D22" s="8" t="s">
        <v>189</v>
      </c>
      <c r="E22" s="591"/>
      <c r="F22" s="11">
        <v>0.5</v>
      </c>
      <c r="G22" s="588"/>
      <c r="H22" s="43" t="s">
        <v>158</v>
      </c>
      <c r="I22" s="184">
        <v>2</v>
      </c>
      <c r="J22" s="340">
        <f>E21*F22*J8</f>
        <v>2.25</v>
      </c>
      <c r="K22" s="107">
        <f>IFERROR(('Data (Section A-H)'!E72/$I$22*$J$22),0)</f>
        <v>0</v>
      </c>
      <c r="L22" s="107">
        <f>IFERROR(('Data (Section A-H)'!F72/$I$22*$J$22),0)</f>
        <v>0</v>
      </c>
      <c r="M22" s="107">
        <f>IFERROR(('Data (Section A-H)'!G72/$I$22*$J$22),0)</f>
        <v>0</v>
      </c>
      <c r="N22" s="107">
        <f>IFERROR(('Data (Section A-H)'!H72/$I$22*$J$22),0)</f>
        <v>0</v>
      </c>
      <c r="O22" s="107">
        <f>IFERROR(('Data (Section A-H)'!I72/$I$22*$J$22),0)</f>
        <v>0</v>
      </c>
      <c r="P22" s="107">
        <f>IF(AVERAGE(K22:O22)&gt;=J22*2,J22*2,AVERAGE(K22:O22))</f>
        <v>0</v>
      </c>
      <c r="AB22" s="25"/>
    </row>
    <row r="23" spans="2:28" ht="30" customHeight="1" thickBot="1" x14ac:dyDescent="0.25">
      <c r="B23" s="596" t="s">
        <v>14</v>
      </c>
      <c r="C23" s="597"/>
      <c r="D23" s="597"/>
      <c r="E23" s="259">
        <f>SUM(E10:E22)</f>
        <v>1</v>
      </c>
      <c r="F23" s="260"/>
      <c r="G23" s="260"/>
      <c r="H23" s="260"/>
      <c r="I23" s="53"/>
      <c r="J23" s="380">
        <f>J10+J15+J16+J17+J18+J21+J22</f>
        <v>15</v>
      </c>
      <c r="K23" s="109">
        <f t="shared" ref="K23:P23" si="1">SUM(K11:K22)</f>
        <v>0</v>
      </c>
      <c r="L23" s="106">
        <f t="shared" si="1"/>
        <v>0</v>
      </c>
      <c r="M23" s="106">
        <f t="shared" si="1"/>
        <v>0</v>
      </c>
      <c r="N23" s="106">
        <f t="shared" si="1"/>
        <v>0</v>
      </c>
      <c r="O23" s="106">
        <f t="shared" si="1"/>
        <v>0</v>
      </c>
      <c r="P23" s="109">
        <f t="shared" si="1"/>
        <v>0</v>
      </c>
    </row>
    <row r="26" spans="2:28" s="25" customFormat="1" ht="16.5" thickBot="1" x14ac:dyDescent="0.3">
      <c r="B26" s="31"/>
      <c r="C26" s="64"/>
      <c r="D26" s="64"/>
      <c r="E26" s="64"/>
      <c r="F26" s="64"/>
      <c r="G26" s="64"/>
      <c r="H26" s="64"/>
      <c r="I26" s="64"/>
      <c r="J26" s="64"/>
      <c r="K26" s="31"/>
      <c r="L26" s="31"/>
      <c r="M26" s="31"/>
      <c r="N26" s="31"/>
      <c r="O26" s="31"/>
      <c r="P26" s="31"/>
    </row>
    <row r="27" spans="2:28" s="25" customFormat="1" ht="36" customHeight="1" thickBot="1" x14ac:dyDescent="0.3">
      <c r="B27" s="563" t="s">
        <v>151</v>
      </c>
      <c r="C27" s="564"/>
      <c r="D27" s="564"/>
      <c r="E27" s="564"/>
      <c r="F27" s="564"/>
      <c r="G27" s="564"/>
      <c r="H27" s="564"/>
      <c r="I27" s="565"/>
      <c r="J27" s="370">
        <v>35</v>
      </c>
      <c r="K27" s="563" t="s">
        <v>165</v>
      </c>
      <c r="L27" s="564"/>
      <c r="M27" s="564"/>
      <c r="N27" s="564"/>
      <c r="O27" s="565"/>
      <c r="P27" s="570" t="s">
        <v>80</v>
      </c>
    </row>
    <row r="28" spans="2:28" s="19" customFormat="1" ht="58.5" customHeight="1" thickBot="1" x14ac:dyDescent="0.3">
      <c r="B28" s="104" t="s">
        <v>9</v>
      </c>
      <c r="C28" s="97" t="s">
        <v>10</v>
      </c>
      <c r="D28" s="96" t="s">
        <v>11</v>
      </c>
      <c r="E28" s="96" t="s">
        <v>12</v>
      </c>
      <c r="F28" s="96" t="s">
        <v>24</v>
      </c>
      <c r="G28" s="96" t="s">
        <v>28</v>
      </c>
      <c r="H28" s="97" t="s">
        <v>5</v>
      </c>
      <c r="I28" s="99" t="s">
        <v>21</v>
      </c>
      <c r="J28" s="100" t="s">
        <v>32</v>
      </c>
      <c r="K28" s="100">
        <v>2019</v>
      </c>
      <c r="L28" s="100">
        <v>2020</v>
      </c>
      <c r="M28" s="116">
        <v>2021</v>
      </c>
      <c r="N28" s="100">
        <v>2022</v>
      </c>
      <c r="O28" s="203">
        <v>2023</v>
      </c>
      <c r="P28" s="571"/>
      <c r="AA28" s="31"/>
    </row>
    <row r="29" spans="2:28" s="19" customFormat="1" ht="20.25" customHeight="1" x14ac:dyDescent="0.25">
      <c r="B29" s="592">
        <v>1</v>
      </c>
      <c r="C29" s="594" t="s">
        <v>1</v>
      </c>
      <c r="D29" s="348" t="s">
        <v>31</v>
      </c>
      <c r="E29" s="583">
        <v>0.7</v>
      </c>
      <c r="F29" s="261"/>
      <c r="G29" s="261"/>
      <c r="H29" s="261"/>
      <c r="I29" s="261"/>
      <c r="J29" s="208"/>
      <c r="K29" s="208"/>
      <c r="L29" s="209"/>
      <c r="M29" s="208"/>
      <c r="N29" s="209"/>
      <c r="O29" s="208"/>
      <c r="P29" s="208"/>
    </row>
    <row r="30" spans="2:28" ht="64.5" customHeight="1" x14ac:dyDescent="0.2">
      <c r="B30" s="602"/>
      <c r="C30" s="601"/>
      <c r="D30" s="20" t="s">
        <v>99</v>
      </c>
      <c r="E30" s="585"/>
      <c r="F30" s="603">
        <v>0.5</v>
      </c>
      <c r="G30" s="252">
        <v>0.5</v>
      </c>
      <c r="H30" s="201" t="s">
        <v>168</v>
      </c>
      <c r="I30" s="263" t="s">
        <v>240</v>
      </c>
      <c r="J30" s="343">
        <f>E29*F30*G30*J27</f>
        <v>6.125</v>
      </c>
      <c r="K30" s="193">
        <f>IFERROR(('Data (Section A-H)'!E79/(('Data (Section A-H)'!E$22*'Data (Section A-H)'!$K$22+'Data (Section A-H)'!E$23*'Data (Section A-H)'!$K$23))*$J$30),0)</f>
        <v>0</v>
      </c>
      <c r="L30" s="193">
        <f>IFERROR(('Data (Section A-H)'!F79/(('Data (Section A-H)'!F$22*'Data (Section A-H)'!$K$22+'Data (Section A-H)'!F$23*'Data (Section A-H)'!$K$23))*$J$30),0)</f>
        <v>0</v>
      </c>
      <c r="M30" s="193">
        <f>IFERROR(('Data (Section A-H)'!G79/(('Data (Section A-H)'!G$22*'Data (Section A-H)'!$K$22+'Data (Section A-H)'!G$23*'Data (Section A-H)'!$K$23))*$J$30),0)</f>
        <v>0</v>
      </c>
      <c r="N30" s="193">
        <f>IFERROR(('Data (Section A-H)'!H79/(('Data (Section A-H)'!H$22*'Data (Section A-H)'!$K$22+'Data (Section A-H)'!H$23*'Data (Section A-H)'!$K$23))*$J$30),0)</f>
        <v>0</v>
      </c>
      <c r="O30" s="193">
        <f>IFERROR(('Data (Section A-H)'!I79/(('Data (Section A-H)'!I$22*'Data (Section A-H)'!$K$22+'Data (Section A-H)'!I$23*'Data (Section A-H)'!$K$23))*$J$30),0)</f>
        <v>0</v>
      </c>
      <c r="P30" s="193">
        <f>IFERROR((MIN('Data (Section A-H)'!J79/(('Data (Section A-H)'!K22*'Data (Section A-H)'!J22)+('Data (Section A-H)'!K23*'Data (Section A-H)'!J23))*$J$30,$J$30*2)),0)</f>
        <v>0</v>
      </c>
      <c r="Q30" s="19"/>
      <c r="AA30" s="4"/>
    </row>
    <row r="31" spans="2:28" ht="90" customHeight="1" x14ac:dyDescent="0.2">
      <c r="B31" s="602"/>
      <c r="C31" s="601"/>
      <c r="D31" s="262" t="s">
        <v>100</v>
      </c>
      <c r="E31" s="585"/>
      <c r="F31" s="604"/>
      <c r="G31" s="252">
        <v>0.5</v>
      </c>
      <c r="H31" s="201" t="s">
        <v>159</v>
      </c>
      <c r="I31" s="264">
        <v>0.7</v>
      </c>
      <c r="J31" s="235">
        <f>E29*F30*G31*J27</f>
        <v>6.125</v>
      </c>
      <c r="K31" s="107">
        <f>IFERROR((('Data (Section A-H)'!E80/($I$31*'Data (Section A-H)'!E82)*$J$31)),0)</f>
        <v>0</v>
      </c>
      <c r="L31" s="107">
        <f>IFERROR((('Data (Section A-H)'!F80/($I$31*'Data (Section A-H)'!F82)*$J$31)),0)</f>
        <v>0</v>
      </c>
      <c r="M31" s="107">
        <f>IFERROR((('Data (Section A-H)'!G80/($I$31*'Data (Section A-H)'!G82)*$J$31)),0)</f>
        <v>0</v>
      </c>
      <c r="N31" s="107">
        <f>IFERROR((('Data (Section A-H)'!H80/($I$31*'Data (Section A-H)'!H82)*$J$31)),0)</f>
        <v>0</v>
      </c>
      <c r="O31" s="107">
        <f>IFERROR((('Data (Section A-H)'!I80/($I$31*'Data (Section A-H)'!I82)*$J$31)),0)</f>
        <v>0</v>
      </c>
      <c r="P31" s="107">
        <f>IFERROR((MIN('Data (Section A-H)'!J80/($I$31*'Data (Section A-H)'!J82)*$J$31,$J$31*2)),0)</f>
        <v>0</v>
      </c>
    </row>
    <row r="32" spans="2:28" ht="33.75" customHeight="1" x14ac:dyDescent="0.2">
      <c r="B32" s="602"/>
      <c r="C32" s="601"/>
      <c r="D32" s="20" t="s">
        <v>273</v>
      </c>
      <c r="E32" s="585"/>
      <c r="F32" s="265"/>
      <c r="G32" s="265"/>
      <c r="H32" s="265"/>
      <c r="I32" s="266"/>
      <c r="J32" s="382"/>
      <c r="K32" s="206"/>
      <c r="L32" s="207"/>
      <c r="M32" s="206"/>
      <c r="N32" s="207"/>
      <c r="O32" s="206"/>
      <c r="P32" s="206"/>
    </row>
    <row r="33" spans="2:27" ht="40.5" customHeight="1" x14ac:dyDescent="0.2">
      <c r="B33" s="602"/>
      <c r="C33" s="601"/>
      <c r="D33" s="20" t="s">
        <v>263</v>
      </c>
      <c r="E33" s="585"/>
      <c r="F33" s="603">
        <v>0.3</v>
      </c>
      <c r="G33" s="219">
        <v>0.9</v>
      </c>
      <c r="H33" s="201" t="s">
        <v>166</v>
      </c>
      <c r="I33" s="263" t="s">
        <v>167</v>
      </c>
      <c r="J33" s="235">
        <f>E29*F33*G33*J27</f>
        <v>6.6150000000000002</v>
      </c>
      <c r="K33" s="107">
        <f>IFERROR(('Data (Section A-H)'!E82/('Data (Section A-H)'!E$22*'Data (Section A-H)'!$L$22+'Data (Section A-H)'!E$23*'Data (Section A-H)'!$L$23)*$J$33),0)</f>
        <v>0</v>
      </c>
      <c r="L33" s="107">
        <f>IFERROR(('Data (Section A-H)'!F82/('Data (Section A-H)'!F$22*'Data (Section A-H)'!$L$22+'Data (Section A-H)'!F$23*'Data (Section A-H)'!$L$23)*$J$33),0)</f>
        <v>0</v>
      </c>
      <c r="M33" s="107">
        <f>IFERROR(('Data (Section A-H)'!G82/('Data (Section A-H)'!G$22*'Data (Section A-H)'!$L$22+'Data (Section A-H)'!G$23*'Data (Section A-H)'!$L$23)*$J$33),0)</f>
        <v>0</v>
      </c>
      <c r="N33" s="107">
        <f>IFERROR(('Data (Section A-H)'!H82/('Data (Section A-H)'!H$22*'Data (Section A-H)'!$L$22+'Data (Section A-H)'!H$23*'Data (Section A-H)'!$L$23)*$J$33),0)</f>
        <v>0</v>
      </c>
      <c r="O33" s="107">
        <f>IFERROR(('Data (Section A-H)'!I82/('Data (Section A-H)'!I$22*'Data (Section A-H)'!$L$22+'Data (Section A-H)'!I$23*'Data (Section A-H)'!$L$23)*$J$33),0)</f>
        <v>0</v>
      </c>
      <c r="P33" s="210">
        <f>IFERROR((MIN('Data (Section A-H)'!J82/(('Data (Section A-H)'!L22*'Data (Section A-H)'!J22)+('Data (Section A-H)'!L23*'Data (Section A-H)'!J23))*$J$33,$J$33*2)),0)</f>
        <v>0</v>
      </c>
      <c r="AA33" s="4"/>
    </row>
    <row r="34" spans="2:27" ht="20.25" customHeight="1" x14ac:dyDescent="0.2">
      <c r="B34" s="602"/>
      <c r="C34" s="601"/>
      <c r="D34" s="20" t="s">
        <v>264</v>
      </c>
      <c r="E34" s="585"/>
      <c r="F34" s="604"/>
      <c r="G34" s="219">
        <v>0.1</v>
      </c>
      <c r="H34" s="201" t="s">
        <v>166</v>
      </c>
      <c r="I34" s="267">
        <v>1</v>
      </c>
      <c r="J34" s="107">
        <f>E29*F33*G34*J27</f>
        <v>0.7350000000000001</v>
      </c>
      <c r="K34" s="107">
        <f>IFERROR(('Data (Section A-H)'!E83/($I$34*('Data (Section A-H)'!E9+'Data (Section A-H)'!E14))*$J$34),0)</f>
        <v>0</v>
      </c>
      <c r="L34" s="107">
        <f>IFERROR(('Data (Section A-H)'!F83/($I$34*('Data (Section A-H)'!F9+'Data (Section A-H)'!F14))*$J$34),0)</f>
        <v>0</v>
      </c>
      <c r="M34" s="107">
        <f>IFERROR(('Data (Section A-H)'!G83/($I$34*('Data (Section A-H)'!G9+'Data (Section A-H)'!G14))*$J$34),0)</f>
        <v>0</v>
      </c>
      <c r="N34" s="107">
        <f>IFERROR(('Data (Section A-H)'!H83/($I$34*('Data (Section A-H)'!H9+'Data (Section A-H)'!H14))*$J$34),0)</f>
        <v>0</v>
      </c>
      <c r="O34" s="107">
        <f>IFERROR(('Data (Section A-H)'!I83/($I$34*('Data (Section A-H)'!I9+'Data (Section A-H)'!I14))*$J$34),0)</f>
        <v>0</v>
      </c>
      <c r="P34" s="210">
        <f>IFERROR(MIN((('Data (Section A-H)'!J83/5)/(I34*('Data (Section A-H)'!$J$9+'Data (Section A-H)'!$J$14)/5))*J34,J34*2),0)</f>
        <v>0</v>
      </c>
    </row>
    <row r="35" spans="2:27" ht="34.5" customHeight="1" x14ac:dyDescent="0.2">
      <c r="B35" s="602"/>
      <c r="C35" s="601"/>
      <c r="D35" s="20" t="s">
        <v>226</v>
      </c>
      <c r="E35" s="585"/>
      <c r="F35" s="5">
        <v>0.05</v>
      </c>
      <c r="G35" s="268" t="s">
        <v>4</v>
      </c>
      <c r="H35" s="201" t="s">
        <v>166</v>
      </c>
      <c r="I35" s="269">
        <v>1</v>
      </c>
      <c r="J35" s="107">
        <f>E29*F35*J27</f>
        <v>1.2249999999999999</v>
      </c>
      <c r="K35" s="107">
        <f>IFERROR(('Data (Section A-H)'!E84/($I$35*('Data (Section A-H)'!E9+'Data (Section A-H)'!E14))*$J$35),0)</f>
        <v>0</v>
      </c>
      <c r="L35" s="107">
        <f>IFERROR(('Data (Section A-H)'!F84/($I$35*('Data (Section A-H)'!F9+'Data (Section A-H)'!F14))*$J$35),0)</f>
        <v>0</v>
      </c>
      <c r="M35" s="107">
        <f>IFERROR(('Data (Section A-H)'!G84/($I$35*('Data (Section A-H)'!G9+'Data (Section A-H)'!G14))*$J$35),0)</f>
        <v>0</v>
      </c>
      <c r="N35" s="107">
        <f>IFERROR(('Data (Section A-H)'!H84/($I$35*('Data (Section A-H)'!H9+'Data (Section A-H)'!H14))*$J$35),0)</f>
        <v>0</v>
      </c>
      <c r="O35" s="107">
        <f>IFERROR(('Data (Section A-H)'!I84/($I$35*('Data (Section A-H)'!I9+'Data (Section A-H)'!I14))*$J$35),0)</f>
        <v>0</v>
      </c>
      <c r="P35" s="210">
        <f>IFERROR(MIN((('Data (Section A-H)'!J84/5)/(I35*('Data (Section A-H)'!$J$9+'Data (Section A-H)'!$J$14)/5))*J35,J35*2),0)</f>
        <v>0</v>
      </c>
    </row>
    <row r="36" spans="2:27" ht="36" customHeight="1" x14ac:dyDescent="0.2">
      <c r="B36" s="602"/>
      <c r="C36" s="601"/>
      <c r="D36" s="7" t="s">
        <v>205</v>
      </c>
      <c r="E36" s="585"/>
      <c r="F36" s="270" t="s">
        <v>4</v>
      </c>
      <c r="G36" s="270" t="s">
        <v>4</v>
      </c>
      <c r="H36" s="270" t="s">
        <v>4</v>
      </c>
      <c r="I36" s="271" t="s">
        <v>4</v>
      </c>
      <c r="J36" s="382" t="s">
        <v>4</v>
      </c>
      <c r="K36" s="204" t="s">
        <v>4</v>
      </c>
      <c r="L36" s="205"/>
      <c r="M36" s="204"/>
      <c r="N36" s="205"/>
      <c r="O36" s="204"/>
      <c r="P36" s="215"/>
      <c r="Q36" s="22"/>
      <c r="R36" s="22"/>
    </row>
    <row r="37" spans="2:27" ht="20.25" customHeight="1" x14ac:dyDescent="0.2">
      <c r="B37" s="602"/>
      <c r="C37" s="601"/>
      <c r="D37" s="7" t="s">
        <v>178</v>
      </c>
      <c r="E37" s="585"/>
      <c r="F37" s="603">
        <v>0.1</v>
      </c>
      <c r="G37" s="12">
        <v>0.6</v>
      </c>
      <c r="H37" s="237" t="s">
        <v>166</v>
      </c>
      <c r="I37" s="272">
        <v>0.2</v>
      </c>
      <c r="J37" s="107">
        <f>E29*F37*G37*J27</f>
        <v>1.4699999999999998</v>
      </c>
      <c r="K37" s="107">
        <f>IFERROR(('Data (Section A-H)'!E86/($I$37*('Data (Section A-H)'!E9+'Data (Section A-H)'!E14))*$J$37),0)</f>
        <v>0</v>
      </c>
      <c r="L37" s="107">
        <f>IFERROR(('Data (Section A-H)'!F86/($I$37*('Data (Section A-H)'!F9+'Data (Section A-H)'!F14))*$J$37),0)</f>
        <v>0</v>
      </c>
      <c r="M37" s="107">
        <f>IFERROR(('Data (Section A-H)'!G86/($I$37*('Data (Section A-H)'!G9+'Data (Section A-H)'!G14))*$J$37),0)</f>
        <v>0</v>
      </c>
      <c r="N37" s="107">
        <f>IFERROR(('Data (Section A-H)'!H86/($I$37*('Data (Section A-H)'!H9+'Data (Section A-H)'!H14))*$J$37),0)</f>
        <v>0</v>
      </c>
      <c r="O37" s="107">
        <f>IFERROR(('Data (Section A-H)'!I86/($I$37*('Data (Section A-H)'!I9+'Data (Section A-H)'!I14))*$J$37),0)</f>
        <v>0</v>
      </c>
      <c r="P37" s="210">
        <f>IFERROR(MIN((('Data (Section A-H)'!J86/5)/(I37*('Data (Section A-H)'!$J$9+'Data (Section A-H)'!$J$14)/5))*J37,J37*2),0)</f>
        <v>0</v>
      </c>
    </row>
    <row r="38" spans="2:27" ht="30" customHeight="1" x14ac:dyDescent="0.2">
      <c r="B38" s="602"/>
      <c r="C38" s="601"/>
      <c r="D38" s="26" t="s">
        <v>179</v>
      </c>
      <c r="E38" s="585"/>
      <c r="F38" s="604"/>
      <c r="G38" s="12">
        <v>0.4</v>
      </c>
      <c r="H38" s="6" t="s">
        <v>166</v>
      </c>
      <c r="I38" s="273">
        <v>0.8</v>
      </c>
      <c r="J38" s="108">
        <f>E29*F37*G38*J27</f>
        <v>0.97999999999999987</v>
      </c>
      <c r="K38" s="107">
        <f>IFERROR(('Data (Section A-H)'!E87/($I$38*('Data (Section A-H)'!E9+'Data (Section A-H)'!E14))*$J$38),0)</f>
        <v>0</v>
      </c>
      <c r="L38" s="107">
        <f>IFERROR(('Data (Section A-H)'!F87/($I$38*('Data (Section A-H)'!F9+'Data (Section A-H)'!F14))*$J$38),0)</f>
        <v>0</v>
      </c>
      <c r="M38" s="107">
        <f>IFERROR(('Data (Section A-H)'!G87/($I$38*('Data (Section A-H)'!G9+'Data (Section A-H)'!G14))*$J$38),0)</f>
        <v>0</v>
      </c>
      <c r="N38" s="107">
        <f>IFERROR(('Data (Section A-H)'!H87/($I$38*('Data (Section A-H)'!H9+'Data (Section A-H)'!H14))*$J$38),0)</f>
        <v>0</v>
      </c>
      <c r="O38" s="107">
        <f>IFERROR(('Data (Section A-H)'!I87/($I$38*('Data (Section A-H)'!I9+'Data (Section A-H)'!I14))*$J$38),0)</f>
        <v>0</v>
      </c>
      <c r="P38" s="210">
        <f>IFERROR(MIN((('Data (Section A-H)'!J87/5)/(I38*('Data (Section A-H)'!$J$9+'Data (Section A-H)'!$J$14)/5))*J38,J38*2),0)</f>
        <v>0</v>
      </c>
    </row>
    <row r="39" spans="2:27" ht="35.25" customHeight="1" x14ac:dyDescent="0.2">
      <c r="B39" s="602"/>
      <c r="C39" s="601"/>
      <c r="D39" s="443" t="s">
        <v>297</v>
      </c>
      <c r="E39" s="585"/>
      <c r="F39" s="12">
        <v>0.03</v>
      </c>
      <c r="G39" s="24" t="s">
        <v>4</v>
      </c>
      <c r="H39" s="6" t="s">
        <v>256</v>
      </c>
      <c r="I39" s="274">
        <v>2</v>
      </c>
      <c r="J39" s="107">
        <f>E29*F39*J27</f>
        <v>0.73499999999999988</v>
      </c>
      <c r="K39" s="621">
        <f>IFERROR(('Data (Section A-H)'!J88/$I$39*$J$39),0)</f>
        <v>0</v>
      </c>
      <c r="L39" s="622"/>
      <c r="M39" s="622"/>
      <c r="N39" s="622"/>
      <c r="O39" s="623"/>
      <c r="P39" s="210">
        <f>IF(K39&gt;J39*2,J39*2,K39)</f>
        <v>0</v>
      </c>
    </row>
    <row r="40" spans="2:27" ht="141" customHeight="1" thickBot="1" x14ac:dyDescent="0.25">
      <c r="B40" s="593"/>
      <c r="C40" s="595"/>
      <c r="D40" s="347" t="s">
        <v>246</v>
      </c>
      <c r="E40" s="591"/>
      <c r="F40" s="5">
        <v>0.02</v>
      </c>
      <c r="G40" s="275" t="s">
        <v>4</v>
      </c>
      <c r="H40" s="27" t="s">
        <v>166</v>
      </c>
      <c r="I40" s="373">
        <v>2</v>
      </c>
      <c r="J40" s="235">
        <f>E29*F40*J27</f>
        <v>0.48999999999999994</v>
      </c>
      <c r="K40" s="123">
        <f>IFERROR(('Data (Section A-H)'!E89/($I$40*('Data (Section A-H)'!E9+'Data (Section A-H)'!E14))*$J$40),0)</f>
        <v>0</v>
      </c>
      <c r="L40" s="123">
        <f>IFERROR(('Data (Section A-H)'!F89/($I$40*('Data (Section A-H)'!F9+'Data (Section A-H)'!F14))*$J$40),0)</f>
        <v>0</v>
      </c>
      <c r="M40" s="123">
        <f>IFERROR(('Data (Section A-H)'!G89/($I$40*('Data (Section A-H)'!G9+'Data (Section A-H)'!G14))*$J$40),0)</f>
        <v>0</v>
      </c>
      <c r="N40" s="123">
        <f>IFERROR(('Data (Section A-H)'!H89/($I$40*('Data (Section A-H)'!H9+'Data (Section A-H)'!H14))*$J$40),0)</f>
        <v>0</v>
      </c>
      <c r="O40" s="123">
        <f>IFERROR(('Data (Section A-H)'!I89/($I$40*('Data (Section A-H)'!I9+'Data (Section A-H)'!I14))*$J$40),0)</f>
        <v>0</v>
      </c>
      <c r="P40" s="210">
        <f>IFERROR(MIN((('Data (Section A-H)'!J89/5)/(I40*('Data (Section A-H)'!$J$9+'Data (Section A-H)'!$J$14)/5))*J40,J40*2),0)</f>
        <v>0</v>
      </c>
    </row>
    <row r="41" spans="2:27" ht="68.25" customHeight="1" thickBot="1" x14ac:dyDescent="0.25">
      <c r="B41" s="612">
        <v>2</v>
      </c>
      <c r="C41" s="594" t="s">
        <v>3</v>
      </c>
      <c r="D41" s="211" t="s">
        <v>244</v>
      </c>
      <c r="E41" s="583">
        <v>0.3</v>
      </c>
      <c r="F41" s="3">
        <v>0.2</v>
      </c>
      <c r="G41" s="46" t="s">
        <v>4</v>
      </c>
      <c r="H41" s="28" t="s">
        <v>7</v>
      </c>
      <c r="I41" s="364" t="s">
        <v>241</v>
      </c>
      <c r="J41" s="122">
        <f>E41*F41*J27</f>
        <v>2.1</v>
      </c>
      <c r="K41" s="124">
        <f>IFERROR((('Data (Section A-H)'!E90/((30000*'Data (Section A-H)'!E22)+(12000*'Data (Section A-H)'!E23))*$J$41)),0)</f>
        <v>0</v>
      </c>
      <c r="L41" s="124">
        <f>IFERROR((('Data (Section A-H)'!F90/((30000*'Data (Section A-H)'!F22)+(12000*'Data (Section A-H)'!F23))*$J$41)),0)</f>
        <v>0</v>
      </c>
      <c r="M41" s="124">
        <f>IFERROR((('Data (Section A-H)'!G90/((30000*'Data (Section A-H)'!G22)+(12000*'Data (Section A-H)'!G23))*$J$41)),0)</f>
        <v>0</v>
      </c>
      <c r="N41" s="124">
        <f>IFERROR((('Data (Section A-H)'!H90/((30000*'Data (Section A-H)'!H22)+(12000*'Data (Section A-H)'!H23))*$J$41)),0)</f>
        <v>0</v>
      </c>
      <c r="O41" s="124">
        <f>IFERROR((('Data (Section A-H)'!I90/((30000*'Data (Section A-H)'!I22)+(12000*'Data (Section A-H)'!I23))*$J$41)),0)</f>
        <v>0</v>
      </c>
      <c r="P41" s="122">
        <f>IFERROR((MIN('Data (Section A-H)'!J90/((30000*'Data (Section A-H)'!J22)+(12000*'Data (Section A-H)'!J23))*$J$41,$J$41*2)),0)</f>
        <v>0</v>
      </c>
    </row>
    <row r="42" spans="2:27" ht="68.25" customHeight="1" x14ac:dyDescent="0.2">
      <c r="B42" s="598"/>
      <c r="C42" s="601"/>
      <c r="D42" s="363" t="s">
        <v>245</v>
      </c>
      <c r="E42" s="585"/>
      <c r="F42" s="3">
        <v>0.3</v>
      </c>
      <c r="G42" s="46" t="s">
        <v>4</v>
      </c>
      <c r="H42" s="28" t="s">
        <v>7</v>
      </c>
      <c r="I42" s="364" t="s">
        <v>241</v>
      </c>
      <c r="J42" s="122">
        <f>E41*F42*J27</f>
        <v>3.15</v>
      </c>
      <c r="K42" s="124">
        <f>IFERROR((('Data (Section A-H)'!E91/((30000*'Data (Section A-H)'!E22)+(12000*'Data (Section A-H)'!E23))*$J$42)),0)</f>
        <v>0</v>
      </c>
      <c r="L42" s="124">
        <f>IFERROR((('Data (Section A-H)'!F91/((30000*'Data (Section A-H)'!F22)+(12000*'Data (Section A-H)'!F23))*$J$42)),0)</f>
        <v>0</v>
      </c>
      <c r="M42" s="124">
        <f>IFERROR((('Data (Section A-H)'!G91/((30000*'Data (Section A-H)'!G22)+(12000*'Data (Section A-H)'!G23))*$J$42)),0)</f>
        <v>0</v>
      </c>
      <c r="N42" s="124">
        <f>IFERROR((('Data (Section A-H)'!H91/((30000*'Data (Section A-H)'!H22)+(12000*'Data (Section A-H)'!H23))*$J$42)),0)</f>
        <v>0</v>
      </c>
      <c r="O42" s="124">
        <f>IFERROR((('Data (Section A-H)'!I91/((30000*'Data (Section A-H)'!I22)+(12000*'Data (Section A-H)'!I23))*$J$42)),0)</f>
        <v>0</v>
      </c>
      <c r="P42" s="122">
        <f>IFERROR((MIN('Data (Section A-H)'!J91/((30000*'Data (Section A-H)'!J22)+(12000*'Data (Section A-H)'!J23))*$J$42,$J$42*2)),0)</f>
        <v>0</v>
      </c>
    </row>
    <row r="43" spans="2:27" ht="64.5" customHeight="1" x14ac:dyDescent="0.2">
      <c r="B43" s="599"/>
      <c r="C43" s="601"/>
      <c r="D43" s="212" t="s">
        <v>236</v>
      </c>
      <c r="E43" s="584"/>
      <c r="F43" s="12">
        <v>0.2</v>
      </c>
      <c r="G43" s="24" t="s">
        <v>4</v>
      </c>
      <c r="H43" s="6" t="s">
        <v>7</v>
      </c>
      <c r="I43" s="194" t="s">
        <v>208</v>
      </c>
      <c r="J43" s="107">
        <f>E41*F43*J27</f>
        <v>2.1</v>
      </c>
      <c r="K43" s="125">
        <f>IFERROR((('Data (Section A-H)'!E92/((20000*'Data (Section A-H)'!E22)+(12000*'Data (Section A-H)'!E23))*$J$43)),0)</f>
        <v>0</v>
      </c>
      <c r="L43" s="125">
        <f>IFERROR((('Data (Section A-H)'!F92/((20000*'Data (Section A-H)'!F22)+(12000*'Data (Section A-H)'!F23))*$J$43)),0)</f>
        <v>0</v>
      </c>
      <c r="M43" s="125">
        <f>IFERROR((('Data (Section A-H)'!G92/((20000*'Data (Section A-H)'!G22)+(12000*'Data (Section A-H)'!G23))*$J$43)),0)</f>
        <v>0</v>
      </c>
      <c r="N43" s="125">
        <f>IFERROR((('Data (Section A-H)'!H92/((20000*'Data (Section A-H)'!H22)+(12000*'Data (Section A-H)'!H23))*$J$43)),0)</f>
        <v>0</v>
      </c>
      <c r="O43" s="125">
        <f>IFERROR((('Data (Section A-H)'!I92/((20000*'Data (Section A-H)'!I22)+(12000*'Data (Section A-H)'!I23))*$J$43)),0)</f>
        <v>0</v>
      </c>
      <c r="P43" s="107">
        <f>IFERROR((MIN('Data (Section A-H)'!J92/((20000*'Data (Section A-H)'!J22)+(12000*'Data (Section A-H)'!J23))*$J$43,$J$43*2)),0)</f>
        <v>0</v>
      </c>
    </row>
    <row r="44" spans="2:27" ht="71.25" customHeight="1" thickBot="1" x14ac:dyDescent="0.25">
      <c r="B44" s="600"/>
      <c r="C44" s="595"/>
      <c r="D44" s="213" t="s">
        <v>237</v>
      </c>
      <c r="E44" s="586"/>
      <c r="F44" s="11">
        <v>0.3</v>
      </c>
      <c r="G44" s="23" t="s">
        <v>4</v>
      </c>
      <c r="H44" s="10" t="s">
        <v>7</v>
      </c>
      <c r="I44" s="276" t="s">
        <v>209</v>
      </c>
      <c r="J44" s="108">
        <f>E41*F44*J27</f>
        <v>3.15</v>
      </c>
      <c r="K44" s="126">
        <f>IFERROR((('Data (Section A-H)'!E93/((20000*'Data (Section A-H)'!E22)+(20000*'Data (Section A-H)'!E23))*$J$44)),0)</f>
        <v>0</v>
      </c>
      <c r="L44" s="126">
        <f>IFERROR((('Data (Section A-H)'!F93/((20000*'Data (Section A-H)'!F22)+(20000*'Data (Section A-H)'!F23))*$J$44)),0)</f>
        <v>0</v>
      </c>
      <c r="M44" s="126">
        <f>IFERROR((('Data (Section A-H)'!G93/((20000*'Data (Section A-H)'!G22)+(20000*'Data (Section A-H)'!G23))*$J$44)),0)</f>
        <v>0</v>
      </c>
      <c r="N44" s="126">
        <f>IFERROR((('Data (Section A-H)'!H93/((20000*'Data (Section A-H)'!H22)+(20000*'Data (Section A-H)'!H23))*$J$44)),0)</f>
        <v>0</v>
      </c>
      <c r="O44" s="126">
        <f>IFERROR((('Data (Section A-H)'!I93/((20000*'Data (Section A-H)'!I22)+(20000*'Data (Section A-H)'!I23))*$J$44)),0)</f>
        <v>0</v>
      </c>
      <c r="P44" s="123">
        <f>IFERROR((MIN('Data (Section A-H)'!J93/((20000*'Data (Section A-H)'!J22)+(20000*'Data (Section A-H)'!J23))*$J$44,$J$44*2)),0)</f>
        <v>0</v>
      </c>
    </row>
    <row r="45" spans="2:27" s="19" customFormat="1" ht="30" customHeight="1" thickBot="1" x14ac:dyDescent="0.3">
      <c r="B45" s="596" t="s">
        <v>19</v>
      </c>
      <c r="C45" s="597"/>
      <c r="D45" s="597"/>
      <c r="E45" s="29">
        <f>SUM(E29:E44)</f>
        <v>1</v>
      </c>
      <c r="F45" s="30"/>
      <c r="G45" s="30"/>
      <c r="H45" s="30"/>
      <c r="I45" s="53"/>
      <c r="J45" s="18">
        <f t="shared" ref="J45:O45" si="2">SUM(J30:J44)</f>
        <v>35</v>
      </c>
      <c r="K45" s="105">
        <f t="shared" si="2"/>
        <v>0</v>
      </c>
      <c r="L45" s="109">
        <f t="shared" si="2"/>
        <v>0</v>
      </c>
      <c r="M45" s="110">
        <f t="shared" si="2"/>
        <v>0</v>
      </c>
      <c r="N45" s="109">
        <f t="shared" si="2"/>
        <v>0</v>
      </c>
      <c r="O45" s="106">
        <f t="shared" si="2"/>
        <v>0</v>
      </c>
      <c r="P45" s="90">
        <f>SUM(P30:P44)</f>
        <v>0</v>
      </c>
    </row>
    <row r="46" spans="2:27" x14ac:dyDescent="0.25">
      <c r="H46" s="25"/>
      <c r="I46" s="245"/>
      <c r="J46" s="246"/>
    </row>
    <row r="48" spans="2:27" s="25" customFormat="1" ht="16.5" thickBot="1" x14ac:dyDescent="0.3">
      <c r="B48" s="64"/>
      <c r="C48" s="64"/>
      <c r="D48" s="64"/>
      <c r="E48" s="64"/>
      <c r="F48" s="64"/>
      <c r="G48" s="64"/>
      <c r="H48" s="64"/>
      <c r="I48" s="64"/>
      <c r="J48" s="64"/>
    </row>
    <row r="49" spans="2:30" ht="36" customHeight="1" thickBot="1" x14ac:dyDescent="0.25">
      <c r="B49" s="563" t="s">
        <v>152</v>
      </c>
      <c r="C49" s="568"/>
      <c r="D49" s="568"/>
      <c r="E49" s="568"/>
      <c r="F49" s="568"/>
      <c r="G49" s="568"/>
      <c r="H49" s="568"/>
      <c r="I49" s="569"/>
      <c r="J49" s="369">
        <v>10</v>
      </c>
      <c r="K49" s="574" t="s">
        <v>165</v>
      </c>
      <c r="L49" s="568"/>
      <c r="M49" s="568"/>
      <c r="N49" s="568"/>
      <c r="O49" s="569"/>
      <c r="P49" s="570" t="s">
        <v>80</v>
      </c>
    </row>
    <row r="50" spans="2:30" s="19" customFormat="1" ht="42" customHeight="1" thickBot="1" x14ac:dyDescent="0.3">
      <c r="B50" s="104" t="s">
        <v>9</v>
      </c>
      <c r="C50" s="97" t="s">
        <v>10</v>
      </c>
      <c r="D50" s="97" t="s">
        <v>11</v>
      </c>
      <c r="E50" s="96" t="s">
        <v>12</v>
      </c>
      <c r="F50" s="97" t="s">
        <v>24</v>
      </c>
      <c r="G50" s="96" t="s">
        <v>28</v>
      </c>
      <c r="H50" s="98" t="s">
        <v>5</v>
      </c>
      <c r="I50" s="99" t="s">
        <v>21</v>
      </c>
      <c r="J50" s="100" t="s">
        <v>32</v>
      </c>
      <c r="K50" s="100">
        <v>2019</v>
      </c>
      <c r="L50" s="100">
        <v>2020</v>
      </c>
      <c r="M50" s="116">
        <v>2021</v>
      </c>
      <c r="N50" s="100">
        <v>2022</v>
      </c>
      <c r="O50" s="203">
        <v>2023</v>
      </c>
      <c r="P50" s="571"/>
      <c r="AA50" s="64"/>
    </row>
    <row r="51" spans="2:30" ht="33.75" customHeight="1" x14ac:dyDescent="0.2">
      <c r="B51" s="592">
        <v>1</v>
      </c>
      <c r="C51" s="594" t="s">
        <v>106</v>
      </c>
      <c r="D51" s="7" t="s">
        <v>190</v>
      </c>
      <c r="E51" s="583">
        <v>0.8</v>
      </c>
      <c r="F51" s="12">
        <v>0.7</v>
      </c>
      <c r="G51" s="587" t="s">
        <v>4</v>
      </c>
      <c r="H51" s="201" t="s">
        <v>107</v>
      </c>
      <c r="I51" s="44">
        <f>1/2</f>
        <v>0.5</v>
      </c>
      <c r="J51" s="225">
        <f>E51*F51*J49</f>
        <v>5.6</v>
      </c>
      <c r="K51" s="122">
        <f>IFERROR(('Data (Section A-H)'!E100/(('Data (Section A-H)'!E9+'Data (Section A-H)'!E14)*$I$51)*'Summary (Section B-H)'!$J$51),0)</f>
        <v>0</v>
      </c>
      <c r="L51" s="122">
        <f>IFERROR(('Data (Section A-H)'!F100/(('Data (Section A-H)'!F9+'Data (Section A-H)'!F14)*$I$51)*'Summary (Section B-H)'!$J$51),0)</f>
        <v>0</v>
      </c>
      <c r="M51" s="122">
        <f>IFERROR(('Data (Section A-H)'!G100/(('Data (Section A-H)'!G9+'Data (Section A-H)'!G14)*$I$51)*'Summary (Section B-H)'!$J$51),0)</f>
        <v>0</v>
      </c>
      <c r="N51" s="122">
        <f>IFERROR(('Data (Section A-H)'!H100/(('Data (Section A-H)'!H9+'Data (Section A-H)'!H14)*$I$51)*'Summary (Section B-H)'!$J$51),0)</f>
        <v>0</v>
      </c>
      <c r="O51" s="122">
        <f>IFERROR(('Data (Section A-H)'!I100/(('Data (Section A-H)'!I9+'Data (Section A-H)'!I14)*$I$51)*'Summary (Section B-H)'!$J$51),0)</f>
        <v>0</v>
      </c>
      <c r="P51" s="122">
        <f>IFERROR((MIN('Data (Section A-H)'!J100/(('Data (Section A-H)'!J9+'Data (Section A-H)'!J14)*$I$51)*'Summary (Section B-H)'!$J$51,'Summary (Section B-H)'!$J$51*2)),0)</f>
        <v>0</v>
      </c>
    </row>
    <row r="52" spans="2:30" ht="33.75" customHeight="1" thickBot="1" x14ac:dyDescent="0.25">
      <c r="B52" s="593"/>
      <c r="C52" s="595"/>
      <c r="D52" s="8" t="s">
        <v>210</v>
      </c>
      <c r="E52" s="591"/>
      <c r="F52" s="11">
        <v>0.3</v>
      </c>
      <c r="G52" s="588"/>
      <c r="H52" s="277" t="s">
        <v>22</v>
      </c>
      <c r="I52" s="278">
        <v>0.25</v>
      </c>
      <c r="J52" s="279">
        <f>E51*F52*J49</f>
        <v>2.4</v>
      </c>
      <c r="K52" s="107">
        <f>IF('Data (Section A-H)'!E101&gt;'Data (Section A-H)'!E100,0,IFERROR(('Data (Section A-H)'!E101/(($I$52*'Data (Section A-H)'!E55))*$J$52),0))</f>
        <v>0</v>
      </c>
      <c r="L52" s="107">
        <f>IF('Data (Section A-H)'!F101&gt;'Data (Section A-H)'!F100,0,IFERROR(('Data (Section A-H)'!F101/(($I$52*'Data (Section A-H)'!F55))*$J$52),0))</f>
        <v>0</v>
      </c>
      <c r="M52" s="107">
        <f>IF('Data (Section A-H)'!G101&gt;'Data (Section A-H)'!G100,0,IFERROR(('Data (Section A-H)'!G101/(($I$52*'Data (Section A-H)'!G55))*$J$52),0))</f>
        <v>0</v>
      </c>
      <c r="N52" s="107">
        <f>IF('Data (Section A-H)'!H101&gt;'Data (Section A-H)'!H100,0,IFERROR(('Data (Section A-H)'!H101/(($I$52*'Data (Section A-H)'!H55))*$J$52),0))</f>
        <v>0</v>
      </c>
      <c r="O52" s="107">
        <f>IF('Data (Section A-H)'!I101&gt;'Data (Section A-H)'!I100,0,IFERROR(('Data (Section A-H)'!I101/(($I$52*'Data (Section A-H)'!I55))*$J$52),0))</f>
        <v>0</v>
      </c>
      <c r="P52" s="107">
        <f>IFERROR((MIN('Data (Section A-H)'!J101/(($I$52*'Data (Section A-H)'!J55))*$J$52,$J$52*2)),0)</f>
        <v>0</v>
      </c>
    </row>
    <row r="53" spans="2:30" ht="33.75" customHeight="1" thickBot="1" x14ac:dyDescent="0.25">
      <c r="B53" s="118">
        <v>2</v>
      </c>
      <c r="C53" s="83" t="s">
        <v>23</v>
      </c>
      <c r="D53" s="13" t="s">
        <v>105</v>
      </c>
      <c r="E53" s="240">
        <v>0.2</v>
      </c>
      <c r="F53" s="3">
        <v>1</v>
      </c>
      <c r="G53" s="371" t="s">
        <v>4</v>
      </c>
      <c r="H53" s="15" t="s">
        <v>164</v>
      </c>
      <c r="I53" s="47">
        <v>1</v>
      </c>
      <c r="J53" s="381">
        <v>2</v>
      </c>
      <c r="K53" s="107">
        <f>IFERROR(('Data (Section A-H)'!E102/$I$53*$J$53),0)</f>
        <v>0</v>
      </c>
      <c r="L53" s="107">
        <f>IFERROR(('Data (Section A-H)'!F102/$I$53*$J$53),0)</f>
        <v>0</v>
      </c>
      <c r="M53" s="107">
        <f>IFERROR(('Data (Section A-H)'!G102/$I$53*$J$53),0)</f>
        <v>0</v>
      </c>
      <c r="N53" s="107">
        <f>IFERROR(('Data (Section A-H)'!H102/$I$53*$J$53),0)</f>
        <v>0</v>
      </c>
      <c r="O53" s="107">
        <f>IFERROR(('Data (Section A-H)'!I102/$I$53*$J$53),0)</f>
        <v>0</v>
      </c>
      <c r="P53" s="107">
        <f>IFERROR((MIN('Data (Section A-H)'!J102/(5*$I$53)*$J$53,$J$53)),0)</f>
        <v>0</v>
      </c>
    </row>
    <row r="54" spans="2:30" s="19" customFormat="1" ht="30" customHeight="1" thickBot="1" x14ac:dyDescent="0.3">
      <c r="B54" s="596" t="s">
        <v>15</v>
      </c>
      <c r="C54" s="597"/>
      <c r="D54" s="597"/>
      <c r="E54" s="29">
        <f>SUM(E51:E53)</f>
        <v>1</v>
      </c>
      <c r="F54" s="30"/>
      <c r="G54" s="30"/>
      <c r="H54" s="30"/>
      <c r="I54" s="53"/>
      <c r="J54" s="18">
        <f t="shared" ref="J54:O54" si="3">SUM(J51:J53)</f>
        <v>10</v>
      </c>
      <c r="K54" s="109">
        <f t="shared" si="3"/>
        <v>0</v>
      </c>
      <c r="L54" s="110">
        <f t="shared" si="3"/>
        <v>0</v>
      </c>
      <c r="M54" s="109">
        <f t="shared" si="3"/>
        <v>0</v>
      </c>
      <c r="N54" s="110">
        <f t="shared" si="3"/>
        <v>0</v>
      </c>
      <c r="O54" s="109">
        <f t="shared" si="3"/>
        <v>0</v>
      </c>
      <c r="P54" s="90">
        <f>SUM(P51:P53)</f>
        <v>0</v>
      </c>
    </row>
    <row r="57" spans="2:30" ht="16.5" thickBot="1" x14ac:dyDescent="0.25">
      <c r="B57" s="64"/>
      <c r="C57" s="64"/>
      <c r="D57" s="64"/>
      <c r="E57" s="64"/>
      <c r="F57" s="64"/>
      <c r="G57" s="64"/>
      <c r="H57" s="64"/>
      <c r="I57" s="64"/>
      <c r="J57" s="64"/>
      <c r="K57" s="31"/>
      <c r="L57" s="31"/>
      <c r="M57" s="31"/>
      <c r="N57" s="31"/>
      <c r="O57" s="31"/>
      <c r="P57" s="31"/>
    </row>
    <row r="58" spans="2:30" ht="36" customHeight="1" thickBot="1" x14ac:dyDescent="0.3">
      <c r="B58" s="563" t="s">
        <v>147</v>
      </c>
      <c r="C58" s="568"/>
      <c r="D58" s="568"/>
      <c r="E58" s="568"/>
      <c r="F58" s="568"/>
      <c r="G58" s="568"/>
      <c r="H58" s="568"/>
      <c r="I58" s="569"/>
      <c r="J58" s="369">
        <v>15</v>
      </c>
      <c r="K58" s="568" t="s">
        <v>165</v>
      </c>
      <c r="L58" s="568"/>
      <c r="M58" s="568"/>
      <c r="N58" s="568"/>
      <c r="O58" s="569"/>
      <c r="P58" s="570" t="s">
        <v>80</v>
      </c>
      <c r="Q58" s="246"/>
      <c r="R58" s="246"/>
    </row>
    <row r="59" spans="2:30" s="19" customFormat="1" ht="42" customHeight="1" thickBot="1" x14ac:dyDescent="0.3">
      <c r="B59" s="104" t="s">
        <v>9</v>
      </c>
      <c r="C59" s="97" t="s">
        <v>10</v>
      </c>
      <c r="D59" s="97" t="s">
        <v>11</v>
      </c>
      <c r="E59" s="97" t="s">
        <v>12</v>
      </c>
      <c r="F59" s="97" t="s">
        <v>24</v>
      </c>
      <c r="G59" s="96" t="s">
        <v>28</v>
      </c>
      <c r="H59" s="97" t="s">
        <v>5</v>
      </c>
      <c r="I59" s="103" t="s">
        <v>21</v>
      </c>
      <c r="J59" s="100" t="s">
        <v>32</v>
      </c>
      <c r="K59" s="100">
        <v>2019</v>
      </c>
      <c r="L59" s="100">
        <v>2020</v>
      </c>
      <c r="M59" s="116">
        <v>2021</v>
      </c>
      <c r="N59" s="100">
        <v>2022</v>
      </c>
      <c r="O59" s="203">
        <v>2023</v>
      </c>
      <c r="P59" s="571"/>
      <c r="Q59" s="33"/>
      <c r="R59" s="33"/>
      <c r="AA59" s="64"/>
    </row>
    <row r="60" spans="2:30" ht="33.75" customHeight="1" x14ac:dyDescent="0.2">
      <c r="B60" s="612">
        <v>1</v>
      </c>
      <c r="C60" s="655" t="s">
        <v>278</v>
      </c>
      <c r="D60" s="446" t="s">
        <v>251</v>
      </c>
      <c r="E60" s="566" t="s">
        <v>4</v>
      </c>
      <c r="F60" s="566" t="s">
        <v>4</v>
      </c>
      <c r="G60" s="587" t="s">
        <v>4</v>
      </c>
      <c r="H60" s="646" t="s">
        <v>4</v>
      </c>
      <c r="I60" s="653" t="s">
        <v>4</v>
      </c>
      <c r="J60" s="620" t="s">
        <v>4</v>
      </c>
      <c r="K60" s="575" t="s">
        <v>4</v>
      </c>
      <c r="L60" s="578" t="s">
        <v>4</v>
      </c>
      <c r="M60" s="575" t="s">
        <v>4</v>
      </c>
      <c r="N60" s="578" t="s">
        <v>4</v>
      </c>
      <c r="O60" s="575" t="s">
        <v>4</v>
      </c>
      <c r="P60" s="575"/>
      <c r="Q60" s="33"/>
      <c r="R60" s="33"/>
    </row>
    <row r="61" spans="2:30" ht="20.25" customHeight="1" x14ac:dyDescent="0.2">
      <c r="B61" s="599"/>
      <c r="C61" s="656"/>
      <c r="D61" s="447" t="s">
        <v>69</v>
      </c>
      <c r="E61" s="567"/>
      <c r="F61" s="567"/>
      <c r="G61" s="615"/>
      <c r="H61" s="647"/>
      <c r="I61" s="654"/>
      <c r="J61" s="580"/>
      <c r="K61" s="576"/>
      <c r="L61" s="573"/>
      <c r="M61" s="576"/>
      <c r="N61" s="573"/>
      <c r="O61" s="576"/>
      <c r="P61" s="576"/>
    </row>
    <row r="62" spans="2:30" ht="20.25" customHeight="1" x14ac:dyDescent="0.2">
      <c r="B62" s="599"/>
      <c r="C62" s="656"/>
      <c r="D62" s="447" t="s">
        <v>70</v>
      </c>
      <c r="E62" s="567"/>
      <c r="F62" s="567"/>
      <c r="G62" s="615"/>
      <c r="H62" s="647"/>
      <c r="I62" s="654"/>
      <c r="J62" s="580"/>
      <c r="K62" s="576"/>
      <c r="L62" s="573"/>
      <c r="M62" s="576"/>
      <c r="N62" s="573"/>
      <c r="O62" s="576"/>
      <c r="P62" s="576"/>
    </row>
    <row r="63" spans="2:30" ht="33" customHeight="1" x14ac:dyDescent="0.2">
      <c r="B63" s="599"/>
      <c r="C63" s="656"/>
      <c r="D63" s="443" t="s">
        <v>248</v>
      </c>
      <c r="E63" s="624" t="s">
        <v>4</v>
      </c>
      <c r="F63" s="624" t="s">
        <v>4</v>
      </c>
      <c r="G63" s="615"/>
      <c r="H63" s="671" t="s">
        <v>4</v>
      </c>
      <c r="I63" s="658" t="s">
        <v>4</v>
      </c>
      <c r="J63" s="579" t="s">
        <v>4</v>
      </c>
      <c r="K63" s="577" t="s">
        <v>4</v>
      </c>
      <c r="L63" s="572" t="s">
        <v>4</v>
      </c>
      <c r="M63" s="577" t="s">
        <v>4</v>
      </c>
      <c r="N63" s="572" t="s">
        <v>4</v>
      </c>
      <c r="O63" s="577" t="s">
        <v>4</v>
      </c>
      <c r="P63" s="577"/>
      <c r="AA63" s="664" t="s">
        <v>170</v>
      </c>
      <c r="AB63" s="664" t="s">
        <v>196</v>
      </c>
      <c r="AC63" s="664" t="s">
        <v>171</v>
      </c>
      <c r="AD63" s="664" t="s">
        <v>195</v>
      </c>
    </row>
    <row r="64" spans="2:30" ht="20.25" customHeight="1" x14ac:dyDescent="0.2">
      <c r="B64" s="599"/>
      <c r="C64" s="656"/>
      <c r="D64" s="447" t="s">
        <v>71</v>
      </c>
      <c r="E64" s="625"/>
      <c r="F64" s="625"/>
      <c r="G64" s="615"/>
      <c r="H64" s="672"/>
      <c r="I64" s="659"/>
      <c r="J64" s="580"/>
      <c r="K64" s="576"/>
      <c r="L64" s="573"/>
      <c r="M64" s="576"/>
      <c r="N64" s="573"/>
      <c r="O64" s="576"/>
      <c r="P64" s="576"/>
      <c r="AA64" s="664"/>
      <c r="AB64" s="664"/>
      <c r="AC64" s="664"/>
      <c r="AD64" s="664"/>
    </row>
    <row r="65" spans="2:30" ht="20.25" customHeight="1" x14ac:dyDescent="0.2">
      <c r="B65" s="599"/>
      <c r="C65" s="656"/>
      <c r="D65" s="447" t="s">
        <v>72</v>
      </c>
      <c r="E65" s="625"/>
      <c r="F65" s="625"/>
      <c r="G65" s="615"/>
      <c r="H65" s="672"/>
      <c r="I65" s="659"/>
      <c r="J65" s="580"/>
      <c r="K65" s="576"/>
      <c r="L65" s="573"/>
      <c r="M65" s="576"/>
      <c r="N65" s="573"/>
      <c r="O65" s="576"/>
      <c r="P65" s="576"/>
      <c r="AA65" s="664"/>
      <c r="AB65" s="664"/>
      <c r="AC65" s="664"/>
      <c r="AD65" s="664"/>
    </row>
    <row r="66" spans="2:30" ht="33" customHeight="1" x14ac:dyDescent="0.2">
      <c r="B66" s="599"/>
      <c r="C66" s="656"/>
      <c r="D66" s="443" t="s">
        <v>276</v>
      </c>
      <c r="E66" s="34">
        <v>0.2</v>
      </c>
      <c r="F66" s="12">
        <v>1</v>
      </c>
      <c r="G66" s="615"/>
      <c r="H66" s="16" t="s">
        <v>257</v>
      </c>
      <c r="I66" s="195">
        <v>1</v>
      </c>
      <c r="J66" s="225">
        <f>IF('Data (Section A-H)'!J5=1,'Summary (Section B-H)'!AD66,'Summary (Section B-H)'!AC66)</f>
        <v>1.5</v>
      </c>
      <c r="K66" s="107">
        <f>IFERROR('Data (Section A-H)'!E114/$I$66*$J$66,0)</f>
        <v>0</v>
      </c>
      <c r="L66" s="107">
        <f>IFERROR('Data (Section A-H)'!F114/$I$66*$J$66,0)</f>
        <v>0</v>
      </c>
      <c r="M66" s="107">
        <f>IFERROR('Data (Section A-H)'!G114/$I$66*$J$66,0)</f>
        <v>0</v>
      </c>
      <c r="N66" s="107">
        <f>IFERROR('Data (Section A-H)'!H114/$I$66*$J$66,0)</f>
        <v>0</v>
      </c>
      <c r="O66" s="107">
        <f>IFERROR('Data (Section A-H)'!I114/$I$66*$J$66,0)</f>
        <v>0</v>
      </c>
      <c r="P66" s="107">
        <f>IFERROR(MIN('Data (Section A-H)'!J114/(5*$I$66)*$J$66,J66*2),0)</f>
        <v>0</v>
      </c>
      <c r="Q66" s="35"/>
      <c r="R66" s="35"/>
      <c r="S66" s="35"/>
      <c r="T66" s="35"/>
      <c r="U66" s="35"/>
      <c r="AA66" s="25">
        <v>1</v>
      </c>
      <c r="AB66" s="25">
        <v>1</v>
      </c>
      <c r="AC66" s="25">
        <v>1.5</v>
      </c>
      <c r="AD66" s="25">
        <v>3</v>
      </c>
    </row>
    <row r="67" spans="2:30" ht="33" customHeight="1" thickBot="1" x14ac:dyDescent="0.25">
      <c r="B67" s="600"/>
      <c r="C67" s="657"/>
      <c r="D67" s="448" t="s">
        <v>299</v>
      </c>
      <c r="E67" s="48">
        <v>0.1</v>
      </c>
      <c r="F67" s="11">
        <v>1</v>
      </c>
      <c r="G67" s="588"/>
      <c r="H67" s="196" t="s">
        <v>257</v>
      </c>
      <c r="I67" s="197">
        <v>4</v>
      </c>
      <c r="J67" s="279">
        <f>E67*F67*J58</f>
        <v>1.5</v>
      </c>
      <c r="K67" s="107">
        <f>IFERROR('Data (Section A-H)'!E115/$I$67*$J$67,0)</f>
        <v>0</v>
      </c>
      <c r="L67" s="107">
        <f>IFERROR('Data (Section A-H)'!F115/$I$67*$J$67,0)</f>
        <v>0</v>
      </c>
      <c r="M67" s="107">
        <f>IFERROR('Data (Section A-H)'!G115/$I$67*$J$67,0)</f>
        <v>0</v>
      </c>
      <c r="N67" s="107">
        <f>IFERROR('Data (Section A-H)'!H115/$I$67*$J$67,0)</f>
        <v>0</v>
      </c>
      <c r="O67" s="107">
        <f>IFERROR('Data (Section A-H)'!I115/$I$67*$J$67,0)</f>
        <v>0</v>
      </c>
      <c r="P67" s="107">
        <f>IFERROR(MIN('Data (Section A-H)'!J115/(5*$I$67)*$J$67,$J$67),0)</f>
        <v>0</v>
      </c>
      <c r="Q67" s="36"/>
      <c r="R67" s="36"/>
      <c r="S67" s="36"/>
      <c r="T67" s="36"/>
      <c r="U67" s="36"/>
      <c r="AA67" s="25">
        <v>4</v>
      </c>
      <c r="AB67" s="25">
        <v>4</v>
      </c>
      <c r="AC67" s="4">
        <v>1.5</v>
      </c>
      <c r="AD67" s="4">
        <v>1.5</v>
      </c>
    </row>
    <row r="68" spans="2:30" ht="33" customHeight="1" thickBot="1" x14ac:dyDescent="0.25">
      <c r="B68" s="49">
        <v>2</v>
      </c>
      <c r="C68" s="449" t="s">
        <v>0</v>
      </c>
      <c r="D68" s="449" t="s">
        <v>185</v>
      </c>
      <c r="E68" s="29">
        <v>0.3</v>
      </c>
      <c r="F68" s="50">
        <v>1</v>
      </c>
      <c r="G68" s="374" t="s">
        <v>4</v>
      </c>
      <c r="H68" s="198" t="s">
        <v>259</v>
      </c>
      <c r="I68" s="199">
        <v>2</v>
      </c>
      <c r="J68" s="82">
        <f>E68*F68*J58</f>
        <v>4.5</v>
      </c>
      <c r="K68" s="621">
        <f>IFERROR('Data (Section A-H)'!J116/$I$68*$J$68,0)</f>
        <v>0</v>
      </c>
      <c r="L68" s="622"/>
      <c r="M68" s="622"/>
      <c r="N68" s="622"/>
      <c r="O68" s="623"/>
      <c r="P68" s="107">
        <f>IF(K68&gt;J68*2,J68*2,K68)</f>
        <v>0</v>
      </c>
      <c r="AA68" s="25">
        <v>2</v>
      </c>
      <c r="AB68" s="25">
        <v>2</v>
      </c>
      <c r="AC68" s="25">
        <v>4.5</v>
      </c>
      <c r="AD68" s="25">
        <v>4.5</v>
      </c>
    </row>
    <row r="69" spans="2:30" ht="33" customHeight="1" thickBot="1" x14ac:dyDescent="0.25">
      <c r="B69" s="49">
        <v>3</v>
      </c>
      <c r="C69" s="449" t="s">
        <v>279</v>
      </c>
      <c r="D69" s="449" t="s">
        <v>280</v>
      </c>
      <c r="E69" s="29">
        <v>0.3</v>
      </c>
      <c r="F69" s="50">
        <v>1</v>
      </c>
      <c r="G69" s="374" t="s">
        <v>4</v>
      </c>
      <c r="H69" s="198" t="s">
        <v>257</v>
      </c>
      <c r="I69" s="199">
        <v>1</v>
      </c>
      <c r="J69" s="82">
        <f>E69*F69*J58</f>
        <v>4.5</v>
      </c>
      <c r="K69" s="107">
        <f>IFERROR('Data (Section A-H)'!E117/$I$69*$J$69,0)</f>
        <v>0</v>
      </c>
      <c r="L69" s="107">
        <f>IFERROR('Data (Section A-H)'!F117/$I$69*$J$69,0)</f>
        <v>0</v>
      </c>
      <c r="M69" s="107">
        <f>IFERROR('Data (Section A-H)'!G117/$I$69*$J$69,0)</f>
        <v>0</v>
      </c>
      <c r="N69" s="107">
        <f>IFERROR('Data (Section A-H)'!H117/$I$69*$J$69,0)</f>
        <v>0</v>
      </c>
      <c r="O69" s="107">
        <f>IFERROR('Data (Section A-H)'!I117/$I$69*$J$69,0)</f>
        <v>0</v>
      </c>
      <c r="P69" s="107">
        <f>IFERROR(MIN('Data (Section A-H)'!J117/(5*$I$69)*J69,$J$69*2),0)</f>
        <v>0</v>
      </c>
      <c r="AA69" s="25">
        <v>1</v>
      </c>
      <c r="AB69" s="25">
        <v>1</v>
      </c>
      <c r="AC69" s="25">
        <v>4.5</v>
      </c>
      <c r="AD69" s="25">
        <v>4.5</v>
      </c>
    </row>
    <row r="70" spans="2:30" ht="63" customHeight="1" thickBot="1" x14ac:dyDescent="0.25">
      <c r="B70" s="49">
        <v>4</v>
      </c>
      <c r="C70" s="450" t="s">
        <v>186</v>
      </c>
      <c r="D70" s="450" t="s">
        <v>206</v>
      </c>
      <c r="E70" s="29">
        <v>0.1</v>
      </c>
      <c r="F70" s="50">
        <v>1</v>
      </c>
      <c r="G70" s="375" t="s">
        <v>4</v>
      </c>
      <c r="H70" s="198" t="s">
        <v>257</v>
      </c>
      <c r="I70" s="199">
        <f>IF('Data (Section A-H)'!J5=1,AB70,AA70)</f>
        <v>6</v>
      </c>
      <c r="J70" s="379">
        <f>IF('Data (Section A-H)'!J5=1,AD70,AC70)</f>
        <v>3</v>
      </c>
      <c r="K70" s="107">
        <f>IFERROR('Data (Section A-H)'!E118/$I$70*$J$70,0)</f>
        <v>0</v>
      </c>
      <c r="L70" s="107">
        <f>IFERROR('Data (Section A-H)'!F118/$I$70*$J$70,0)</f>
        <v>0</v>
      </c>
      <c r="M70" s="107">
        <f>IFERROR('Data (Section A-H)'!G118/$I$70*$J$70,0)</f>
        <v>0</v>
      </c>
      <c r="N70" s="107">
        <f>IFERROR('Data (Section A-H)'!H118/$I$70*$J$70,0)</f>
        <v>0</v>
      </c>
      <c r="O70" s="107">
        <f>IFERROR('Data (Section A-H)'!I118/$I$70*$J$70,0)</f>
        <v>0</v>
      </c>
      <c r="P70" s="107">
        <f>IFERROR(MIN('Data (Section A-H)'!J118/(5*$I$70)*$J$70,J70*2),0)</f>
        <v>0</v>
      </c>
      <c r="AA70" s="25">
        <v>6</v>
      </c>
      <c r="AB70" s="25">
        <v>3</v>
      </c>
      <c r="AC70" s="25">
        <v>3</v>
      </c>
      <c r="AD70" s="25">
        <v>1.5</v>
      </c>
    </row>
    <row r="71" spans="2:30" s="19" customFormat="1" ht="30" customHeight="1" thickBot="1" x14ac:dyDescent="0.3">
      <c r="B71" s="596" t="s">
        <v>2</v>
      </c>
      <c r="C71" s="597"/>
      <c r="D71" s="597"/>
      <c r="E71" s="29">
        <f>SUM(E60:E70)</f>
        <v>1.0000000000000002</v>
      </c>
      <c r="F71" s="30"/>
      <c r="G71" s="30"/>
      <c r="H71" s="52"/>
      <c r="I71" s="53"/>
      <c r="J71" s="18">
        <f>SUM(J60:J70)</f>
        <v>15</v>
      </c>
      <c r="K71" s="105">
        <f>SUM(K60:K70)</f>
        <v>0</v>
      </c>
      <c r="L71" s="109">
        <f>SUM(L60:L70)+K68</f>
        <v>0</v>
      </c>
      <c r="M71" s="110">
        <f>SUM(M60:M70)+K68</f>
        <v>0</v>
      </c>
      <c r="N71" s="109">
        <f>SUM(N60:N70)+K68</f>
        <v>0</v>
      </c>
      <c r="O71" s="106">
        <f>SUM(O60:O70)+K68</f>
        <v>0</v>
      </c>
      <c r="P71" s="93">
        <f>SUM(P66:P70)</f>
        <v>0</v>
      </c>
    </row>
    <row r="74" spans="2:30" ht="16.5" thickBot="1" x14ac:dyDescent="0.25">
      <c r="C74" s="64"/>
      <c r="D74" s="64"/>
      <c r="E74" s="64"/>
      <c r="F74" s="64"/>
      <c r="G74" s="64"/>
      <c r="H74" s="64"/>
      <c r="I74" s="64"/>
      <c r="J74" s="64"/>
      <c r="K74" s="31"/>
      <c r="L74" s="31"/>
      <c r="M74" s="31"/>
      <c r="N74" s="31"/>
      <c r="O74" s="31"/>
      <c r="P74" s="31"/>
    </row>
    <row r="75" spans="2:30" ht="36" customHeight="1" thickBot="1" x14ac:dyDescent="0.25">
      <c r="B75" s="563" t="s">
        <v>148</v>
      </c>
      <c r="C75" s="564"/>
      <c r="D75" s="564"/>
      <c r="E75" s="564"/>
      <c r="F75" s="564"/>
      <c r="G75" s="564"/>
      <c r="H75" s="564"/>
      <c r="I75" s="565"/>
      <c r="J75" s="369">
        <v>10</v>
      </c>
      <c r="K75" s="574" t="s">
        <v>165</v>
      </c>
      <c r="L75" s="568"/>
      <c r="M75" s="568"/>
      <c r="N75" s="568"/>
      <c r="O75" s="569"/>
      <c r="P75" s="570" t="s">
        <v>80</v>
      </c>
    </row>
    <row r="76" spans="2:30" ht="42" customHeight="1" thickBot="1" x14ac:dyDescent="0.25">
      <c r="B76" s="179" t="s">
        <v>8</v>
      </c>
      <c r="C76" s="117" t="s">
        <v>59</v>
      </c>
      <c r="D76" s="117" t="s">
        <v>60</v>
      </c>
      <c r="E76" s="98" t="s">
        <v>12</v>
      </c>
      <c r="F76" s="97" t="s">
        <v>61</v>
      </c>
      <c r="G76" s="96" t="s">
        <v>28</v>
      </c>
      <c r="H76" s="96" t="s">
        <v>5</v>
      </c>
      <c r="I76" s="100" t="s">
        <v>62</v>
      </c>
      <c r="J76" s="100" t="s">
        <v>63</v>
      </c>
      <c r="K76" s="100">
        <v>2019</v>
      </c>
      <c r="L76" s="100">
        <v>2020</v>
      </c>
      <c r="M76" s="116">
        <v>2021</v>
      </c>
      <c r="N76" s="100">
        <v>2022</v>
      </c>
      <c r="O76" s="203">
        <v>2023</v>
      </c>
      <c r="P76" s="571"/>
      <c r="AA76" s="64"/>
    </row>
    <row r="77" spans="2:30" ht="33" customHeight="1" thickBot="1" x14ac:dyDescent="0.25">
      <c r="B77" s="180">
        <v>1</v>
      </c>
      <c r="C77" s="451" t="s">
        <v>64</v>
      </c>
      <c r="D77" s="451" t="s">
        <v>266</v>
      </c>
      <c r="E77" s="176">
        <v>0.1</v>
      </c>
      <c r="F77" s="9">
        <v>1</v>
      </c>
      <c r="G77" s="376" t="s">
        <v>4</v>
      </c>
      <c r="H77" s="184" t="s">
        <v>7</v>
      </c>
      <c r="I77" s="349">
        <v>50000</v>
      </c>
      <c r="J77" s="385">
        <f>J75*E77*F77</f>
        <v>1</v>
      </c>
      <c r="K77" s="107">
        <f>IFERROR(('Data (Section A-H)'!E124/('Summary (Section B-H)'!$I$77*('Data (Section A-H)'!E9+'Data (Section A-H)'!E14))*'Summary (Section B-H)'!$J$77),0)</f>
        <v>0</v>
      </c>
      <c r="L77" s="107">
        <f>IFERROR(('Data (Section A-H)'!F124/('Summary (Section B-H)'!$I$77*('Data (Section A-H)'!F9+'Data (Section A-H)'!F14))*'Summary (Section B-H)'!$J$77),0)</f>
        <v>0</v>
      </c>
      <c r="M77" s="107">
        <f>IFERROR(('Data (Section A-H)'!G124/('Summary (Section B-H)'!$I$77*('Data (Section A-H)'!G9+'Data (Section A-H)'!G14))*'Summary (Section B-H)'!$J$77),0)</f>
        <v>0</v>
      </c>
      <c r="N77" s="107">
        <f>IFERROR(('Data (Section A-H)'!H124/('Summary (Section B-H)'!$I$77*('Data (Section A-H)'!H9+'Data (Section A-H)'!H14))*'Summary (Section B-H)'!$J$77),0)</f>
        <v>0</v>
      </c>
      <c r="O77" s="107">
        <f>IFERROR(('Data (Section A-H)'!I124/('Summary (Section B-H)'!$I$77*('Data (Section A-H)'!I9+'Data (Section A-H)'!I14))*'Summary (Section B-H)'!$J$77),0)</f>
        <v>0</v>
      </c>
      <c r="P77" s="107">
        <f>IFERROR(MIN('Data (Section A-H)'!J124/('Summary (Section B-H)'!$I$77*('Data (Section A-H)'!J9+'Data (Section A-H)'!J14))*'Summary (Section B-H)'!$J$77,$J$77*2),0)</f>
        <v>0</v>
      </c>
      <c r="AB77" s="218"/>
    </row>
    <row r="78" spans="2:30" ht="33" customHeight="1" thickBot="1" x14ac:dyDescent="0.25">
      <c r="B78" s="181">
        <v>2</v>
      </c>
      <c r="C78" s="452" t="s">
        <v>267</v>
      </c>
      <c r="D78" s="452" t="s">
        <v>268</v>
      </c>
      <c r="E78" s="177">
        <v>0.2</v>
      </c>
      <c r="F78" s="56">
        <v>1</v>
      </c>
      <c r="G78" s="377" t="s">
        <v>4</v>
      </c>
      <c r="H78" s="185" t="s">
        <v>7</v>
      </c>
      <c r="I78" s="350">
        <v>50000</v>
      </c>
      <c r="J78" s="367">
        <f>J75*E78*F78</f>
        <v>2</v>
      </c>
      <c r="K78" s="107">
        <f>IFERROR(('Data (Section A-H)'!E125/('Summary (Section B-H)'!$I$78*('Data (Section A-H)'!E9+'Data (Section A-H)'!E14))*'Summary (Section B-H)'!$J$78),0)</f>
        <v>0</v>
      </c>
      <c r="L78" s="107">
        <f>IFERROR(('Data (Section A-H)'!F125/('Summary (Section B-H)'!$I$78*('Data (Section A-H)'!F9+'Data (Section A-H)'!F14))*'Summary (Section B-H)'!$J$78),0)</f>
        <v>0</v>
      </c>
      <c r="M78" s="107">
        <f>IFERROR(('Data (Section A-H)'!G125/('Summary (Section B-H)'!$I$78*('Data (Section A-H)'!G9+'Data (Section A-H)'!G14))*'Summary (Section B-H)'!$J$78),0)</f>
        <v>0</v>
      </c>
      <c r="N78" s="107">
        <f>IFERROR(('Data (Section A-H)'!H125/('Summary (Section B-H)'!$I$78*('Data (Section A-H)'!H9+'Data (Section A-H)'!H14))*'Summary (Section B-H)'!$J$78),0)</f>
        <v>0</v>
      </c>
      <c r="O78" s="107">
        <f>IFERROR(('Data (Section A-H)'!I125/('Summary (Section B-H)'!$I$78*('Data (Section A-H)'!I9+'Data (Section A-H)'!I14))*'Summary (Section B-H)'!$J$78),0)</f>
        <v>0</v>
      </c>
      <c r="P78" s="107">
        <f>IFERROR(MIN('Data (Section A-H)'!J125/('Summary (Section B-H)'!$I$78*('Data (Section A-H)'!J9+'Data (Section A-H)'!J14))*'Summary (Section B-H)'!$J$78,$J$78*2),0)</f>
        <v>0</v>
      </c>
      <c r="AB78" s="218"/>
    </row>
    <row r="79" spans="2:30" ht="33" customHeight="1" x14ac:dyDescent="0.2">
      <c r="B79" s="581">
        <v>3</v>
      </c>
      <c r="C79" s="520" t="s">
        <v>281</v>
      </c>
      <c r="D79" s="453" t="s">
        <v>233</v>
      </c>
      <c r="E79" s="650">
        <v>0.3</v>
      </c>
      <c r="F79" s="3">
        <v>0.5</v>
      </c>
      <c r="G79" s="660" t="s">
        <v>4</v>
      </c>
      <c r="H79" s="47" t="s">
        <v>166</v>
      </c>
      <c r="I79" s="351">
        <v>1.5</v>
      </c>
      <c r="J79" s="383">
        <f>J75*E79*F79</f>
        <v>1.5</v>
      </c>
      <c r="K79" s="107">
        <f>IFERROR(('Data (Section A-H)'!E126/('Summary (Section B-H)'!$I$79*('Data (Section A-H)'!E9+'Data (Section A-H)'!E14))*'Summary (Section B-H)'!$J$79),0)</f>
        <v>0</v>
      </c>
      <c r="L79" s="107">
        <f>IFERROR(('Data (Section A-H)'!F126/('Summary (Section B-H)'!$I$79*('Data (Section A-H)'!F9+'Data (Section A-H)'!F14))*'Summary (Section B-H)'!$J$79),0)</f>
        <v>0</v>
      </c>
      <c r="M79" s="107">
        <f>IFERROR(('Data (Section A-H)'!G126/('Summary (Section B-H)'!$I$79*('Data (Section A-H)'!G9+'Data (Section A-H)'!G14))*'Summary (Section B-H)'!$J$79),0)</f>
        <v>0</v>
      </c>
      <c r="N79" s="107">
        <f>IFERROR(('Data (Section A-H)'!H126/('Summary (Section B-H)'!$I$79*('Data (Section A-H)'!H9+'Data (Section A-H)'!H14))*'Summary (Section B-H)'!$J$79),0)</f>
        <v>0</v>
      </c>
      <c r="O79" s="107">
        <f>IFERROR(('Data (Section A-H)'!I126/('Summary (Section B-H)'!$I$79*('Data (Section A-H)'!I9+'Data (Section A-H)'!I14))*'Summary (Section B-H)'!$J$79),0)</f>
        <v>0</v>
      </c>
      <c r="P79" s="107">
        <f>IFERROR(MIN('Data (Section A-H)'!J126/('Summary (Section B-H)'!$I$79*('Data (Section A-H)'!J9+'Data (Section A-H)'!J14))*'Summary (Section B-H)'!$J$79,$J$79*2),0)</f>
        <v>0</v>
      </c>
      <c r="Q79" s="33"/>
      <c r="R79" s="33"/>
      <c r="AB79" s="218"/>
    </row>
    <row r="80" spans="2:30" ht="34.5" customHeight="1" thickBot="1" x14ac:dyDescent="0.25">
      <c r="B80" s="582"/>
      <c r="C80" s="522"/>
      <c r="D80" s="454" t="s">
        <v>269</v>
      </c>
      <c r="E80" s="609"/>
      <c r="F80" s="11">
        <v>0.5</v>
      </c>
      <c r="G80" s="661"/>
      <c r="H80" s="45" t="s">
        <v>7</v>
      </c>
      <c r="I80" s="352">
        <v>200000</v>
      </c>
      <c r="J80" s="384">
        <f>J75*E79*F80</f>
        <v>1.5</v>
      </c>
      <c r="K80" s="107">
        <f>IFERROR(('Data (Section A-H)'!E127/('Summary (Section B-H)'!$I$80*('Data (Section A-H)'!E9+'Data (Section A-H)'!E14))*'Summary (Section B-H)'!$J$80),0)</f>
        <v>0</v>
      </c>
      <c r="L80" s="107">
        <f>IFERROR(('Data (Section A-H)'!F127/('Summary (Section B-H)'!$I$80*('Data (Section A-H)'!F9+'Data (Section A-H)'!F14))*'Summary (Section B-H)'!$J$80),0)</f>
        <v>0</v>
      </c>
      <c r="M80" s="107">
        <f>IFERROR(('Data (Section A-H)'!G127/('Summary (Section B-H)'!$I$80*('Data (Section A-H)'!G9+'Data (Section A-H)'!G14))*'Summary (Section B-H)'!$J$80),0)</f>
        <v>0</v>
      </c>
      <c r="N80" s="107">
        <f>IFERROR(('Data (Section A-H)'!H127/('Summary (Section B-H)'!$I$80*('Data (Section A-H)'!H9+'Data (Section A-H)'!H14))*'Summary (Section B-H)'!$J$80),0)</f>
        <v>0</v>
      </c>
      <c r="O80" s="107">
        <f>IFERROR(('Data (Section A-H)'!I127/('Summary (Section B-H)'!$I$80*('Data (Section A-H)'!I9+'Data (Section A-H)'!I14))*'Summary (Section B-H)'!$J$80),0)</f>
        <v>0</v>
      </c>
      <c r="P80" s="107">
        <f>IFERROR(MIN('Data (Section A-H)'!J127/('Summary (Section B-H)'!$I$80*('Data (Section A-H)'!J9+'Data (Section A-H)'!J14))*'Summary (Section B-H)'!$J$80,$J$80*2),0)</f>
        <v>0</v>
      </c>
      <c r="AB80" s="218"/>
    </row>
    <row r="81" spans="1:28" ht="41.25" customHeight="1" thickBot="1" x14ac:dyDescent="0.25">
      <c r="B81" s="182">
        <v>4</v>
      </c>
      <c r="C81" s="425" t="s">
        <v>271</v>
      </c>
      <c r="D81" s="452" t="s">
        <v>270</v>
      </c>
      <c r="E81" s="608">
        <v>0.4</v>
      </c>
      <c r="F81" s="5">
        <v>0.5</v>
      </c>
      <c r="G81" s="378" t="s">
        <v>4</v>
      </c>
      <c r="H81" s="648" t="s">
        <v>255</v>
      </c>
      <c r="I81" s="353">
        <v>500000</v>
      </c>
      <c r="J81" s="379">
        <f>E81*F81*J75</f>
        <v>2</v>
      </c>
      <c r="K81" s="621">
        <f>IFERROR('Data (Section A-H)'!J128/$I$81*$J$81,0)</f>
        <v>0</v>
      </c>
      <c r="L81" s="622"/>
      <c r="M81" s="622"/>
      <c r="N81" s="622"/>
      <c r="O81" s="623"/>
      <c r="P81" s="107">
        <f>IFERROR((MIN('Data (Section A-H)'!J128/($I$81)*$J$81,$J$81*2)),0)</f>
        <v>0</v>
      </c>
      <c r="AB81" s="218"/>
    </row>
    <row r="82" spans="1:28" ht="48" customHeight="1" thickBot="1" x14ac:dyDescent="0.25">
      <c r="B82" s="180">
        <v>5</v>
      </c>
      <c r="C82" s="183" t="s">
        <v>30</v>
      </c>
      <c r="D82" s="178" t="s">
        <v>272</v>
      </c>
      <c r="E82" s="609"/>
      <c r="F82" s="50">
        <v>0.5</v>
      </c>
      <c r="G82" s="376" t="s">
        <v>4</v>
      </c>
      <c r="H82" s="649"/>
      <c r="I82" s="354">
        <v>500000</v>
      </c>
      <c r="J82" s="386">
        <f>E81*F82*J75</f>
        <v>2</v>
      </c>
      <c r="K82" s="668">
        <f>IFERROR('Data (Section A-H)'!J129/$I$82*$J$82,0)</f>
        <v>0</v>
      </c>
      <c r="L82" s="669"/>
      <c r="M82" s="669"/>
      <c r="N82" s="669"/>
      <c r="O82" s="670"/>
      <c r="P82" s="108">
        <f>IFERROR((MIN('Data (Section A-H)'!J129/($I$82)*$J$82,$J$82*2)),0)</f>
        <v>0</v>
      </c>
      <c r="AB82" s="218"/>
    </row>
    <row r="83" spans="1:28" ht="30" customHeight="1" thickBot="1" x14ac:dyDescent="0.25">
      <c r="B83" s="610" t="s">
        <v>75</v>
      </c>
      <c r="C83" s="611"/>
      <c r="D83" s="611"/>
      <c r="E83" s="54">
        <f>SUM(E77:E82)</f>
        <v>1</v>
      </c>
      <c r="F83" s="651"/>
      <c r="G83" s="651"/>
      <c r="H83" s="651"/>
      <c r="I83" s="652"/>
      <c r="J83" s="2">
        <f t="shared" ref="J83:P83" si="4">SUM(J77:J82)</f>
        <v>10</v>
      </c>
      <c r="K83" s="109">
        <f t="shared" si="4"/>
        <v>0</v>
      </c>
      <c r="L83" s="110">
        <f>SUM(L77:L82)+K81+K82</f>
        <v>0</v>
      </c>
      <c r="M83" s="109">
        <f>SUM(M77:M82)+K81+K82</f>
        <v>0</v>
      </c>
      <c r="N83" s="110">
        <f>SUM(N77:N82)+K81+K82</f>
        <v>0</v>
      </c>
      <c r="O83" s="109">
        <f>SUM(O77:O82)+K81+K82</f>
        <v>0</v>
      </c>
      <c r="P83" s="91">
        <f t="shared" si="4"/>
        <v>0</v>
      </c>
      <c r="AB83" s="218"/>
    </row>
    <row r="84" spans="1:28" ht="15" customHeight="1" x14ac:dyDescent="0.2">
      <c r="B84" s="37"/>
      <c r="C84" s="32"/>
      <c r="D84" s="32"/>
      <c r="E84" s="38"/>
      <c r="F84" s="39"/>
      <c r="G84" s="25"/>
      <c r="H84" s="4"/>
      <c r="I84" s="4"/>
    </row>
    <row r="85" spans="1:28" ht="15" customHeight="1" x14ac:dyDescent="0.2">
      <c r="B85" s="37"/>
      <c r="C85" s="32"/>
      <c r="D85" s="32"/>
      <c r="E85" s="38"/>
      <c r="F85" s="39"/>
      <c r="G85" s="25"/>
      <c r="H85" s="4"/>
      <c r="I85" s="4"/>
    </row>
    <row r="86" spans="1:28" ht="16.5" thickBot="1" x14ac:dyDescent="0.25">
      <c r="B86" s="37"/>
      <c r="C86" s="21"/>
      <c r="D86" s="21"/>
      <c r="E86" s="21"/>
      <c r="F86" s="21"/>
      <c r="G86" s="21"/>
      <c r="H86" s="21"/>
      <c r="I86" s="21"/>
      <c r="J86" s="64"/>
    </row>
    <row r="87" spans="1:28" ht="36" customHeight="1" thickBot="1" x14ac:dyDescent="0.25">
      <c r="B87" s="563" t="s">
        <v>154</v>
      </c>
      <c r="C87" s="564"/>
      <c r="D87" s="564"/>
      <c r="E87" s="564"/>
      <c r="F87" s="564"/>
      <c r="G87" s="564"/>
      <c r="H87" s="564"/>
      <c r="I87" s="565"/>
      <c r="J87" s="369">
        <v>12</v>
      </c>
      <c r="K87" s="568" t="s">
        <v>165</v>
      </c>
      <c r="L87" s="568"/>
      <c r="M87" s="568"/>
      <c r="N87" s="568"/>
      <c r="O87" s="569"/>
      <c r="P87" s="570" t="s">
        <v>80</v>
      </c>
    </row>
    <row r="88" spans="1:28" ht="42" customHeight="1" thickBot="1" x14ac:dyDescent="0.3">
      <c r="B88" s="101" t="s">
        <v>8</v>
      </c>
      <c r="C88" s="102" t="s">
        <v>59</v>
      </c>
      <c r="D88" s="102" t="s">
        <v>60</v>
      </c>
      <c r="E88" s="97" t="s">
        <v>12</v>
      </c>
      <c r="F88" s="96" t="s">
        <v>61</v>
      </c>
      <c r="G88" s="96" t="s">
        <v>28</v>
      </c>
      <c r="H88" s="98" t="s">
        <v>5</v>
      </c>
      <c r="I88" s="96" t="s">
        <v>62</v>
      </c>
      <c r="J88" s="100" t="s">
        <v>63</v>
      </c>
      <c r="K88" s="100">
        <v>2019</v>
      </c>
      <c r="L88" s="100">
        <v>2020</v>
      </c>
      <c r="M88" s="116">
        <v>2021</v>
      </c>
      <c r="N88" s="100">
        <v>2022</v>
      </c>
      <c r="O88" s="203">
        <v>2023</v>
      </c>
      <c r="P88" s="571"/>
      <c r="AA88" s="281"/>
    </row>
    <row r="89" spans="1:28" ht="84.6" customHeight="1" x14ac:dyDescent="0.2">
      <c r="A89" s="388"/>
      <c r="B89" s="455">
        <v>1</v>
      </c>
      <c r="C89" s="446" t="s">
        <v>283</v>
      </c>
      <c r="D89" s="58"/>
      <c r="E89" s="605">
        <v>1</v>
      </c>
      <c r="F89" s="14">
        <v>0.2</v>
      </c>
      <c r="G89" s="282"/>
      <c r="H89" s="673" t="s">
        <v>257</v>
      </c>
      <c r="I89" s="47">
        <v>2</v>
      </c>
      <c r="J89" s="94">
        <f>J87*E89*F89</f>
        <v>2.4000000000000004</v>
      </c>
      <c r="K89" s="122">
        <f>IFERROR(('Data (Section A-H)'!E135/$I$89*$J$89),0)</f>
        <v>0</v>
      </c>
      <c r="L89" s="122">
        <f>IFERROR(('Data (Section A-H)'!F135/$I$89*$J$89),0)</f>
        <v>0</v>
      </c>
      <c r="M89" s="122">
        <f>IFERROR(('Data (Section A-H)'!G135/$I$89*$J$89),0)</f>
        <v>0</v>
      </c>
      <c r="N89" s="122">
        <f>IFERROR(('Data (Section A-H)'!H135/$I$89*$J$89),0)</f>
        <v>0</v>
      </c>
      <c r="O89" s="122">
        <f>IFERROR(('Data (Section A-H)'!I135/$I$89*$J$89),0)</f>
        <v>0</v>
      </c>
      <c r="P89" s="122">
        <f>IFERROR((MIN('Data (Section A-H)'!J135/(5*$I$89)*$J$89,$J$89)),0)</f>
        <v>0</v>
      </c>
    </row>
    <row r="90" spans="1:28" ht="54.75" customHeight="1" x14ac:dyDescent="0.2">
      <c r="A90" s="388"/>
      <c r="B90" s="456">
        <v>2</v>
      </c>
      <c r="C90" s="443" t="s">
        <v>284</v>
      </c>
      <c r="D90" s="40"/>
      <c r="E90" s="606"/>
      <c r="F90" s="42">
        <v>0.1</v>
      </c>
      <c r="G90" s="221"/>
      <c r="H90" s="589"/>
      <c r="I90" s="44">
        <v>10</v>
      </c>
      <c r="J90" s="95">
        <f>J87*E89*F90</f>
        <v>1.2000000000000002</v>
      </c>
      <c r="K90" s="107">
        <f>IFERROR(('Data (Section A-H)'!E138/$I$90*$J$90),0)</f>
        <v>0</v>
      </c>
      <c r="L90" s="107">
        <f>IFERROR(('Data (Section A-H)'!F138/$I$90*$J$90),0)</f>
        <v>0</v>
      </c>
      <c r="M90" s="107">
        <f>IFERROR(('Data (Section A-H)'!G138/$I$90*$J$90),0)</f>
        <v>0</v>
      </c>
      <c r="N90" s="107">
        <f>IFERROR(('Data (Section A-H)'!H138/$I$90*$J$90),0)</f>
        <v>0</v>
      </c>
      <c r="O90" s="107">
        <f>IFERROR(('Data (Section A-H)'!I138/$I$90*$J$90),0)</f>
        <v>0</v>
      </c>
      <c r="P90" s="107">
        <f>IFERROR((MIN('Data (Section A-H)'!J138/(5*$I$90)*$J$90,$J$90)),0)</f>
        <v>0</v>
      </c>
    </row>
    <row r="91" spans="1:28" ht="52.9" customHeight="1" x14ac:dyDescent="0.2">
      <c r="A91" s="388"/>
      <c r="B91" s="456">
        <v>3</v>
      </c>
      <c r="C91" s="443" t="s">
        <v>285</v>
      </c>
      <c r="D91" s="40"/>
      <c r="E91" s="606"/>
      <c r="F91" s="42">
        <v>0.15</v>
      </c>
      <c r="G91" s="221"/>
      <c r="H91" s="237" t="s">
        <v>258</v>
      </c>
      <c r="I91" s="44">
        <v>1</v>
      </c>
      <c r="J91" s="95">
        <f>J87*E89*F91</f>
        <v>1.7999999999999998</v>
      </c>
      <c r="K91" s="621">
        <f>IFERROR(('Data (Section A-H)'!J139/$I$91*$J$91),0)</f>
        <v>0</v>
      </c>
      <c r="L91" s="622"/>
      <c r="M91" s="622"/>
      <c r="N91" s="622"/>
      <c r="O91" s="623"/>
      <c r="P91" s="107">
        <f>IFERROR((MIN('Data (Section A-H)'!J139/($I$91)*$J$91,$J$91)),0)</f>
        <v>0</v>
      </c>
      <c r="AA91" s="21"/>
    </row>
    <row r="92" spans="1:28" ht="47.45" customHeight="1" x14ac:dyDescent="0.2">
      <c r="A92" s="388"/>
      <c r="B92" s="456">
        <v>4</v>
      </c>
      <c r="C92" s="443" t="s">
        <v>286</v>
      </c>
      <c r="D92" s="40"/>
      <c r="E92" s="606"/>
      <c r="F92" s="42">
        <v>0.15</v>
      </c>
      <c r="G92" s="283"/>
      <c r="H92" s="662" t="s">
        <v>257</v>
      </c>
      <c r="I92" s="44">
        <v>2</v>
      </c>
      <c r="J92" s="95">
        <f>J87*E89*F92</f>
        <v>1.7999999999999998</v>
      </c>
      <c r="K92" s="107">
        <f>IFERROR(('Data (Section A-H)'!E140/$I$92*$J$92),0)</f>
        <v>0</v>
      </c>
      <c r="L92" s="107">
        <f>IFERROR(('Data (Section A-H)'!F140/$I$92*$J$92),0)</f>
        <v>0</v>
      </c>
      <c r="M92" s="107">
        <f>IFERROR(('Data (Section A-H)'!G140/$I$92*$J$92),0)</f>
        <v>0</v>
      </c>
      <c r="N92" s="107">
        <f>IFERROR(('Data (Section A-H)'!H140/$I$92*$J$92),0)</f>
        <v>0</v>
      </c>
      <c r="O92" s="107">
        <f>IFERROR(('Data (Section A-H)'!I140/$I$92*$J$92),0)</f>
        <v>0</v>
      </c>
      <c r="P92" s="107">
        <f>IFERROR((MIN('Data (Section A-H)'!J140/(5*$I$92)*$J$92,$J$92)),0)</f>
        <v>0</v>
      </c>
    </row>
    <row r="93" spans="1:28" ht="21" customHeight="1" x14ac:dyDescent="0.2">
      <c r="A93" s="388"/>
      <c r="B93" s="456">
        <v>5</v>
      </c>
      <c r="C93" s="443" t="s">
        <v>282</v>
      </c>
      <c r="D93" s="40"/>
      <c r="E93" s="606"/>
      <c r="F93" s="42">
        <v>0.2</v>
      </c>
      <c r="G93" s="221"/>
      <c r="H93" s="663"/>
      <c r="I93" s="44">
        <v>1</v>
      </c>
      <c r="J93" s="95">
        <f>J87*E89*F93</f>
        <v>2.4000000000000004</v>
      </c>
      <c r="K93" s="107">
        <f>IFERROR(('Data (Section A-H)'!E141/$I$93*$J$93),0)</f>
        <v>0</v>
      </c>
      <c r="L93" s="107">
        <f>IFERROR(('Data (Section A-H)'!F141/$I$93*$J$93),0)</f>
        <v>0</v>
      </c>
      <c r="M93" s="107">
        <f>IFERROR(('Data (Section A-H)'!G141/$I$93*$J$93),0)</f>
        <v>0</v>
      </c>
      <c r="N93" s="107">
        <f>IFERROR(('Data (Section A-H)'!H141/$I$93*$J$93),0)</f>
        <v>0</v>
      </c>
      <c r="O93" s="107">
        <f>IFERROR(('Data (Section A-H)'!I141/$I$93*$J$93),0)</f>
        <v>0</v>
      </c>
      <c r="P93" s="107">
        <f>IFERROR((MIN('Data (Section A-H)'!J141/(5*$I$93)*$J$93,$J$93)),0)</f>
        <v>0</v>
      </c>
    </row>
    <row r="94" spans="1:28" ht="63.6" customHeight="1" thickBot="1" x14ac:dyDescent="0.25">
      <c r="A94" s="388"/>
      <c r="B94" s="457">
        <v>6</v>
      </c>
      <c r="C94" s="448" t="s">
        <v>287</v>
      </c>
      <c r="D94" s="59"/>
      <c r="E94" s="607"/>
      <c r="F94" s="60">
        <v>0.2</v>
      </c>
      <c r="G94" s="280"/>
      <c r="H94" s="57" t="s">
        <v>258</v>
      </c>
      <c r="I94" s="45">
        <v>1</v>
      </c>
      <c r="J94" s="112">
        <f>J87*E89*F94</f>
        <v>2.4000000000000004</v>
      </c>
      <c r="K94" s="668">
        <f>IFERROR(('Data (Section A-H)'!J142/$I$94*$J$94),0)</f>
        <v>0</v>
      </c>
      <c r="L94" s="669"/>
      <c r="M94" s="669"/>
      <c r="N94" s="669"/>
      <c r="O94" s="670"/>
      <c r="P94" s="107">
        <f>IFERROR((MIN('Data (Section A-H)'!J142/($I$94)*$J$94,$J$94)),0)</f>
        <v>0</v>
      </c>
    </row>
    <row r="95" spans="1:28" ht="30" customHeight="1" thickBot="1" x14ac:dyDescent="0.25">
      <c r="B95" s="610" t="s">
        <v>76</v>
      </c>
      <c r="C95" s="611"/>
      <c r="D95" s="611"/>
      <c r="E95" s="54">
        <f>SUM(E89)</f>
        <v>1</v>
      </c>
      <c r="F95" s="631"/>
      <c r="G95" s="632"/>
      <c r="H95" s="632"/>
      <c r="I95" s="632"/>
      <c r="J95" s="2">
        <f t="shared" ref="J95:O95" si="5">SUM(J89:J94)</f>
        <v>12.000000000000002</v>
      </c>
      <c r="K95" s="105">
        <f>SUM(K89:K94)</f>
        <v>0</v>
      </c>
      <c r="L95" s="109">
        <f t="shared" si="5"/>
        <v>0</v>
      </c>
      <c r="M95" s="110">
        <f t="shared" si="5"/>
        <v>0</v>
      </c>
      <c r="N95" s="109">
        <f t="shared" si="5"/>
        <v>0</v>
      </c>
      <c r="O95" s="106">
        <f t="shared" si="5"/>
        <v>0</v>
      </c>
      <c r="P95" s="92">
        <f>SUM(P89:P94)</f>
        <v>0</v>
      </c>
    </row>
    <row r="98" spans="2:27" ht="16.5" thickBot="1" x14ac:dyDescent="0.25">
      <c r="B98" s="64"/>
      <c r="C98" s="64"/>
      <c r="D98" s="64"/>
      <c r="E98" s="64"/>
      <c r="F98" s="64"/>
      <c r="G98" s="64"/>
      <c r="H98" s="64"/>
      <c r="I98" s="64"/>
      <c r="J98" s="64"/>
    </row>
    <row r="99" spans="2:27" ht="36" customHeight="1" thickBot="1" x14ac:dyDescent="0.25">
      <c r="B99" s="563" t="s">
        <v>153</v>
      </c>
      <c r="C99" s="568"/>
      <c r="D99" s="568"/>
      <c r="E99" s="568"/>
      <c r="F99" s="568"/>
      <c r="G99" s="568"/>
      <c r="H99" s="568"/>
      <c r="I99" s="569"/>
      <c r="J99" s="372">
        <v>3</v>
      </c>
      <c r="K99" s="574" t="s">
        <v>165</v>
      </c>
      <c r="L99" s="568"/>
      <c r="M99" s="568"/>
      <c r="N99" s="568"/>
      <c r="O99" s="568"/>
      <c r="P99" s="641" t="s">
        <v>80</v>
      </c>
      <c r="AA99" s="284"/>
    </row>
    <row r="100" spans="2:27" ht="42" customHeight="1" thickBot="1" x14ac:dyDescent="0.25">
      <c r="B100" s="104" t="s">
        <v>9</v>
      </c>
      <c r="C100" s="97" t="s">
        <v>10</v>
      </c>
      <c r="D100" s="97" t="s">
        <v>11</v>
      </c>
      <c r="E100" s="96" t="s">
        <v>12</v>
      </c>
      <c r="F100" s="97" t="s">
        <v>24</v>
      </c>
      <c r="G100" s="96" t="s">
        <v>28</v>
      </c>
      <c r="H100" s="98" t="s">
        <v>5</v>
      </c>
      <c r="I100" s="99" t="s">
        <v>21</v>
      </c>
      <c r="J100" s="100" t="s">
        <v>32</v>
      </c>
      <c r="K100" s="100">
        <v>2019</v>
      </c>
      <c r="L100" s="100">
        <v>2020</v>
      </c>
      <c r="M100" s="116">
        <v>2021</v>
      </c>
      <c r="N100" s="100">
        <v>2022</v>
      </c>
      <c r="O100" s="203">
        <v>2023</v>
      </c>
      <c r="P100" s="642"/>
      <c r="AA100" s="288"/>
    </row>
    <row r="101" spans="2:27" ht="35.25" customHeight="1" thickBot="1" x14ac:dyDescent="0.25">
      <c r="B101" s="49">
        <v>1</v>
      </c>
      <c r="C101" s="51" t="s">
        <v>65</v>
      </c>
      <c r="D101" s="61" t="s">
        <v>235</v>
      </c>
      <c r="E101" s="50">
        <v>0.33333299999999999</v>
      </c>
      <c r="F101" s="62">
        <v>1</v>
      </c>
      <c r="G101" s="63"/>
      <c r="H101" s="55" t="s">
        <v>265</v>
      </c>
      <c r="I101" s="387">
        <v>2000000</v>
      </c>
      <c r="J101" s="365">
        <f>E101*F101*J99</f>
        <v>0.99999899999999997</v>
      </c>
      <c r="K101" s="665">
        <f>IFERROR(('Data (Section A-H)'!J148/$I$101*$J$101),0)</f>
        <v>0</v>
      </c>
      <c r="L101" s="666"/>
      <c r="M101" s="666"/>
      <c r="N101" s="666"/>
      <c r="O101" s="667"/>
      <c r="P101" s="109">
        <f>IFERROR((MIN('Data (Section A-H)'!J148/($I$101)*$J$101,$J$101)),0)</f>
        <v>0</v>
      </c>
    </row>
    <row r="102" spans="2:27" ht="21" customHeight="1" x14ac:dyDescent="0.2">
      <c r="B102" s="633">
        <v>2</v>
      </c>
      <c r="C102" s="594" t="s">
        <v>66</v>
      </c>
      <c r="D102" s="20" t="s">
        <v>73</v>
      </c>
      <c r="E102" s="628">
        <v>0.66666599999999998</v>
      </c>
      <c r="F102" s="232">
        <v>1</v>
      </c>
      <c r="G102" s="233"/>
      <c r="H102" s="234" t="s">
        <v>197</v>
      </c>
      <c r="I102" s="47">
        <v>1</v>
      </c>
      <c r="J102" s="366">
        <f>$E$102*$F$102*$J$99</f>
        <v>1.9999979999999999</v>
      </c>
      <c r="K102" s="122">
        <f>IFERROR('Data (Section A-H)'!E149/$I$102*$J$102,0)</f>
        <v>0</v>
      </c>
      <c r="L102" s="122">
        <f>IFERROR('Data (Section A-H)'!F149/$I$102*$J$102,0)</f>
        <v>0</v>
      </c>
      <c r="M102" s="122">
        <f>IFERROR('Data (Section A-H)'!G149/$I$102*$J$102,0)</f>
        <v>0</v>
      </c>
      <c r="N102" s="122">
        <f>IFERROR('Data (Section A-H)'!H149/$I$102*$J$102,0)</f>
        <v>0</v>
      </c>
      <c r="O102" s="122">
        <f>IFERROR('Data (Section A-H)'!I149/$I$102*$J$102,0)</f>
        <v>0</v>
      </c>
      <c r="P102" s="122">
        <f>IFERROR((MIN('Data (Section A-H)'!J149/(5*$I$102)*$J$102,$J$102)),0)</f>
        <v>0</v>
      </c>
      <c r="AA102" s="22"/>
    </row>
    <row r="103" spans="2:27" ht="21" customHeight="1" x14ac:dyDescent="0.2">
      <c r="B103" s="634"/>
      <c r="C103" s="601"/>
      <c r="D103" s="285" t="s">
        <v>67</v>
      </c>
      <c r="E103" s="629"/>
      <c r="F103" s="643" t="s">
        <v>67</v>
      </c>
      <c r="G103" s="644"/>
      <c r="H103" s="644"/>
      <c r="I103" s="644"/>
      <c r="J103" s="644"/>
      <c r="K103" s="644"/>
      <c r="L103" s="644"/>
      <c r="M103" s="644"/>
      <c r="N103" s="644"/>
      <c r="O103" s="644"/>
      <c r="P103" s="645"/>
      <c r="AA103" s="22"/>
    </row>
    <row r="104" spans="2:27" ht="21" customHeight="1" x14ac:dyDescent="0.2">
      <c r="B104" s="634"/>
      <c r="C104" s="601"/>
      <c r="D104" s="7" t="s">
        <v>74</v>
      </c>
      <c r="E104" s="629"/>
      <c r="F104" s="56">
        <v>1</v>
      </c>
      <c r="H104" s="230" t="s">
        <v>257</v>
      </c>
      <c r="I104" s="185">
        <v>1</v>
      </c>
      <c r="J104" s="367">
        <f>$E$102*$F$104*$J$99</f>
        <v>1.9999979999999999</v>
      </c>
      <c r="K104" s="235">
        <f>IFERROR('Data (Section A-H)'!E151/$I$104*$J$104,0)</f>
        <v>0</v>
      </c>
      <c r="L104" s="235">
        <f>IFERROR('Data (Section A-H)'!F151/$I$104*$J$104,0)</f>
        <v>0</v>
      </c>
      <c r="M104" s="235">
        <f>IFERROR('Data (Section A-H)'!G151/$I$104*$J$104,0)</f>
        <v>0</v>
      </c>
      <c r="N104" s="235">
        <f>IFERROR('Data (Section A-H)'!H151/$I$104*$J$104,0)</f>
        <v>0</v>
      </c>
      <c r="O104" s="235">
        <f>IFERROR('Data (Section A-H)'!I151/$I$104*$J$104,0)</f>
        <v>0</v>
      </c>
      <c r="P104" s="235">
        <f>IFERROR((MIN('Data (Section A-H)'!J151/(5*$I$104)*$J$104,$J$104)),0)</f>
        <v>0</v>
      </c>
      <c r="AA104" s="22"/>
    </row>
    <row r="105" spans="2:27" ht="21" customHeight="1" x14ac:dyDescent="0.2">
      <c r="B105" s="634"/>
      <c r="C105" s="601"/>
      <c r="D105" s="192" t="s">
        <v>67</v>
      </c>
      <c r="E105" s="629"/>
      <c r="F105" s="638" t="s">
        <v>67</v>
      </c>
      <c r="G105" s="639"/>
      <c r="H105" s="639"/>
      <c r="I105" s="639"/>
      <c r="J105" s="639"/>
      <c r="K105" s="639"/>
      <c r="L105" s="639"/>
      <c r="M105" s="639"/>
      <c r="N105" s="639"/>
      <c r="O105" s="639"/>
      <c r="P105" s="640"/>
      <c r="AA105" s="22"/>
    </row>
    <row r="106" spans="2:27" ht="50.25" customHeight="1" x14ac:dyDescent="0.2">
      <c r="B106" s="634"/>
      <c r="C106" s="601"/>
      <c r="D106" s="26" t="s">
        <v>191</v>
      </c>
      <c r="E106" s="629"/>
      <c r="F106" s="231">
        <v>1</v>
      </c>
      <c r="G106" s="236"/>
      <c r="H106" s="41" t="s">
        <v>18</v>
      </c>
      <c r="I106" s="89">
        <v>1</v>
      </c>
      <c r="J106" s="368">
        <f>$E$102*$F$106*$J$99</f>
        <v>1.9999979999999999</v>
      </c>
      <c r="K106" s="107">
        <f>IF('Data (Section A-H)'!E$153&gt;'Data (Section A-H)'!E$154,0,IFERROR(('Data (Section A-H)'!E153/($I$106*'Data (Section A-H)'!E154)*$J$106),0))</f>
        <v>0</v>
      </c>
      <c r="L106" s="107">
        <f>IF('Data (Section A-H)'!F$153&gt;'Data (Section A-H)'!F$154,0,IFERROR(('Data (Section A-H)'!F153/($I$106*'Data (Section A-H)'!F154)*$J$106),0))</f>
        <v>0</v>
      </c>
      <c r="M106" s="107">
        <f>IF('Data (Section A-H)'!G$153&gt;'Data (Section A-H)'!G$154,0,IFERROR(('Data (Section A-H)'!G153/($I$106*'Data (Section A-H)'!G154)*$J$106),0))</f>
        <v>0</v>
      </c>
      <c r="N106" s="107">
        <f>IF('Data (Section A-H)'!H$153&gt;'Data (Section A-H)'!H$154,0,IFERROR(('Data (Section A-H)'!H153/($I$106*'Data (Section A-H)'!H154)*$J$106),0))</f>
        <v>0</v>
      </c>
      <c r="O106" s="107">
        <f>IF('Data (Section A-H)'!I$153&gt;'Data (Section A-H)'!I$154,0,IFERROR(('Data (Section A-H)'!I153/($I$106*'Data (Section A-H)'!I154)*$J$106),0))</f>
        <v>0</v>
      </c>
      <c r="P106" s="107">
        <f>IF('Data (Section A-H)'!J$153&gt;'Data (Section A-H)'!J$154,0,IFERROR((MIN('Data (Section A-H)'!J153/($I$106*'Data (Section A-H)'!J154)*$J$106,$J$106)),0))</f>
        <v>0</v>
      </c>
      <c r="AA106" s="22"/>
    </row>
    <row r="107" spans="2:27" ht="23.45" customHeight="1" x14ac:dyDescent="0.2">
      <c r="B107" s="634"/>
      <c r="C107" s="601"/>
      <c r="D107" s="192" t="s">
        <v>67</v>
      </c>
      <c r="E107" s="629"/>
      <c r="F107" s="638" t="s">
        <v>67</v>
      </c>
      <c r="G107" s="639"/>
      <c r="H107" s="639"/>
      <c r="I107" s="639"/>
      <c r="J107" s="639"/>
      <c r="K107" s="639"/>
      <c r="L107" s="639"/>
      <c r="M107" s="639"/>
      <c r="N107" s="639"/>
      <c r="O107" s="639"/>
      <c r="P107" s="640"/>
      <c r="AA107" s="286"/>
    </row>
    <row r="108" spans="2:27" ht="50.25" customHeight="1" thickBot="1" x14ac:dyDescent="0.25">
      <c r="B108" s="634"/>
      <c r="C108" s="601"/>
      <c r="D108" s="26" t="s">
        <v>169</v>
      </c>
      <c r="E108" s="629"/>
      <c r="F108" s="231">
        <v>1</v>
      </c>
      <c r="G108" s="236"/>
      <c r="H108" s="41" t="s">
        <v>18</v>
      </c>
      <c r="I108" s="89">
        <v>0.8</v>
      </c>
      <c r="J108" s="368">
        <f>$E$102*$F$108*$J$99</f>
        <v>1.9999979999999999</v>
      </c>
      <c r="K108" s="123">
        <f>IFERROR('Data (Section A-H)'!E156/$I$108*$J$108,0)</f>
        <v>0</v>
      </c>
      <c r="L108" s="123">
        <f>IFERROR('Data (Section A-H)'!F156/$I$108*$J$108,0)</f>
        <v>0</v>
      </c>
      <c r="M108" s="123">
        <f>IFERROR('Data (Section A-H)'!G156/$I$108*$J$108,0)</f>
        <v>0</v>
      </c>
      <c r="N108" s="123">
        <f>IFERROR('Data (Section A-H)'!H156/$I$108*$J$108,0)</f>
        <v>0</v>
      </c>
      <c r="O108" s="123">
        <f>IFERROR('Data (Section A-H)'!I156/$I$108*$J$108,0)</f>
        <v>0</v>
      </c>
      <c r="P108" s="123">
        <f>IFERROR('Data (Section A-H)'!J156/$I$108*$J$108,0)</f>
        <v>0</v>
      </c>
      <c r="AA108" s="287"/>
    </row>
    <row r="109" spans="2:27" ht="29.25" customHeight="1" thickBot="1" x14ac:dyDescent="0.25">
      <c r="B109" s="635"/>
      <c r="C109" s="636"/>
      <c r="D109" s="636"/>
      <c r="E109" s="636"/>
      <c r="F109" s="636"/>
      <c r="G109" s="636"/>
      <c r="H109" s="636"/>
      <c r="I109" s="636"/>
      <c r="J109" s="636"/>
      <c r="K109" s="636"/>
      <c r="L109" s="636"/>
      <c r="M109" s="636"/>
      <c r="N109" s="636"/>
      <c r="O109" s="637"/>
      <c r="P109" s="238">
        <f>MAX(P102,P104,P106,P108)</f>
        <v>0</v>
      </c>
      <c r="AA109" s="287"/>
    </row>
    <row r="110" spans="2:27" ht="30" customHeight="1" thickBot="1" x14ac:dyDescent="0.25">
      <c r="B110" s="626" t="s">
        <v>77</v>
      </c>
      <c r="C110" s="627"/>
      <c r="D110" s="627"/>
      <c r="E110" s="220">
        <f>SUM(E101:E106)</f>
        <v>0.99999899999999997</v>
      </c>
      <c r="F110" s="630"/>
      <c r="G110" s="630"/>
      <c r="H110" s="630"/>
      <c r="I110" s="630"/>
      <c r="J110" s="175">
        <f t="shared" ref="J110:O110" si="6">IF(SUM(J101:J108)&gt;3,3,SUM(J101:J108))</f>
        <v>3</v>
      </c>
      <c r="K110" s="175">
        <f t="shared" si="6"/>
        <v>0</v>
      </c>
      <c r="L110" s="175">
        <f t="shared" si="6"/>
        <v>0</v>
      </c>
      <c r="M110" s="175">
        <f t="shared" si="6"/>
        <v>0</v>
      </c>
      <c r="N110" s="175">
        <f t="shared" si="6"/>
        <v>0</v>
      </c>
      <c r="O110" s="175">
        <f t="shared" si="6"/>
        <v>0</v>
      </c>
      <c r="P110" s="239">
        <f>P101+P109</f>
        <v>0</v>
      </c>
    </row>
  </sheetData>
  <sheetProtection sheet="1" selectLockedCells="1" selectUnlockedCells="1"/>
  <mergeCells count="116">
    <mergeCell ref="H92:H93"/>
    <mergeCell ref="AD63:AD65"/>
    <mergeCell ref="AC63:AC65"/>
    <mergeCell ref="AB63:AB65"/>
    <mergeCell ref="AA63:AA65"/>
    <mergeCell ref="K91:O91"/>
    <mergeCell ref="K101:O101"/>
    <mergeCell ref="K87:O87"/>
    <mergeCell ref="K81:O81"/>
    <mergeCell ref="K82:O82"/>
    <mergeCell ref="K94:O94"/>
    <mergeCell ref="H63:H65"/>
    <mergeCell ref="H89:H90"/>
    <mergeCell ref="K68:O68"/>
    <mergeCell ref="K63:K65"/>
    <mergeCell ref="F63:F65"/>
    <mergeCell ref="F83:I83"/>
    <mergeCell ref="I60:I62"/>
    <mergeCell ref="B87:I87"/>
    <mergeCell ref="C60:C67"/>
    <mergeCell ref="I63:I65"/>
    <mergeCell ref="B71:D71"/>
    <mergeCell ref="B75:I75"/>
    <mergeCell ref="G79:G80"/>
    <mergeCell ref="J60:J62"/>
    <mergeCell ref="B58:I58"/>
    <mergeCell ref="M60:M62"/>
    <mergeCell ref="K39:O39"/>
    <mergeCell ref="G60:G67"/>
    <mergeCell ref="E63:E65"/>
    <mergeCell ref="B110:D110"/>
    <mergeCell ref="E102:E108"/>
    <mergeCell ref="F110:I110"/>
    <mergeCell ref="B95:D95"/>
    <mergeCell ref="F95:I95"/>
    <mergeCell ref="B99:I99"/>
    <mergeCell ref="C102:C108"/>
    <mergeCell ref="B102:B108"/>
    <mergeCell ref="B109:O109"/>
    <mergeCell ref="F105:P105"/>
    <mergeCell ref="F107:P107"/>
    <mergeCell ref="K99:O99"/>
    <mergeCell ref="P99:P100"/>
    <mergeCell ref="F103:P103"/>
    <mergeCell ref="H60:H62"/>
    <mergeCell ref="H81:H82"/>
    <mergeCell ref="E79:E80"/>
    <mergeCell ref="F60:F62"/>
    <mergeCell ref="E89:E94"/>
    <mergeCell ref="E81:E82"/>
    <mergeCell ref="C79:C80"/>
    <mergeCell ref="B83:D83"/>
    <mergeCell ref="B60:B67"/>
    <mergeCell ref="B2:P2"/>
    <mergeCell ref="B3:P3"/>
    <mergeCell ref="H10:H14"/>
    <mergeCell ref="C16:C17"/>
    <mergeCell ref="B45:D45"/>
    <mergeCell ref="B41:B44"/>
    <mergeCell ref="C18:C20"/>
    <mergeCell ref="E18:E20"/>
    <mergeCell ref="F30:F31"/>
    <mergeCell ref="C29:C40"/>
    <mergeCell ref="B8:I8"/>
    <mergeCell ref="K8:O8"/>
    <mergeCell ref="P8:P9"/>
    <mergeCell ref="G18:G20"/>
    <mergeCell ref="G21:G22"/>
    <mergeCell ref="G10:G15"/>
    <mergeCell ref="B10:B15"/>
    <mergeCell ref="B16:B17"/>
    <mergeCell ref="C10:C15"/>
    <mergeCell ref="E10:E14"/>
    <mergeCell ref="E16:E17"/>
    <mergeCell ref="G16:G17"/>
    <mergeCell ref="H18:H20"/>
    <mergeCell ref="E21:E22"/>
    <mergeCell ref="B21:B22"/>
    <mergeCell ref="C21:C22"/>
    <mergeCell ref="B54:D54"/>
    <mergeCell ref="B18:B20"/>
    <mergeCell ref="B23:D23"/>
    <mergeCell ref="C51:C52"/>
    <mergeCell ref="C41:C44"/>
    <mergeCell ref="B29:B40"/>
    <mergeCell ref="G51:G52"/>
    <mergeCell ref="F33:F34"/>
    <mergeCell ref="B51:B52"/>
    <mergeCell ref="E41:E44"/>
    <mergeCell ref="F37:F38"/>
    <mergeCell ref="E29:E40"/>
    <mergeCell ref="E51:E52"/>
    <mergeCell ref="K27:O27"/>
    <mergeCell ref="E60:E62"/>
    <mergeCell ref="B49:I49"/>
    <mergeCell ref="P27:P28"/>
    <mergeCell ref="N63:N65"/>
    <mergeCell ref="K58:O58"/>
    <mergeCell ref="K75:O75"/>
    <mergeCell ref="P87:P88"/>
    <mergeCell ref="P75:P76"/>
    <mergeCell ref="P58:P59"/>
    <mergeCell ref="K60:K62"/>
    <mergeCell ref="O60:O62"/>
    <mergeCell ref="M63:M65"/>
    <mergeCell ref="P49:P50"/>
    <mergeCell ref="K49:O49"/>
    <mergeCell ref="N60:N62"/>
    <mergeCell ref="O63:O65"/>
    <mergeCell ref="L60:L62"/>
    <mergeCell ref="P63:P65"/>
    <mergeCell ref="L63:L65"/>
    <mergeCell ref="P60:P62"/>
    <mergeCell ref="B27:I27"/>
    <mergeCell ref="J63:J65"/>
    <mergeCell ref="B79:B80"/>
  </mergeCells>
  <conditionalFormatting sqref="K39:K44 L40:O40 L41:P44">
    <cfRule type="cellIs" dxfId="61" priority="112" stopIfTrue="1" operator="lessThan">
      <formula>($J39)*0.6</formula>
    </cfRule>
    <cfRule type="cellIs" dxfId="60" priority="111" stopIfTrue="1" operator="greaterThan">
      <formula>$J39</formula>
    </cfRule>
    <cfRule type="cellIs" dxfId="59" priority="110" stopIfTrue="1" operator="between">
      <formula>($J39)*0.8</formula>
      <formula>($J39)</formula>
    </cfRule>
    <cfRule type="cellIs" dxfId="58" priority="109" stopIfTrue="1" operator="between">
      <formula>($J39)*0.6</formula>
      <formula>($J39)*0.8</formula>
    </cfRule>
  </conditionalFormatting>
  <conditionalFormatting sqref="K81:K82">
    <cfRule type="cellIs" dxfId="57" priority="77" stopIfTrue="1" operator="between">
      <formula>($J81)*0.6</formula>
      <formula>($J81)*0.8</formula>
    </cfRule>
    <cfRule type="cellIs" dxfId="56" priority="78" stopIfTrue="1" operator="between">
      <formula>($J81)*0.8</formula>
      <formula>($J81)</formula>
    </cfRule>
    <cfRule type="cellIs" dxfId="55" priority="79" stopIfTrue="1" operator="greaterThan">
      <formula>$J81</formula>
    </cfRule>
    <cfRule type="cellIs" dxfId="54" priority="80" stopIfTrue="1" operator="lessThan">
      <formula>($J81)*0.6</formula>
    </cfRule>
  </conditionalFormatting>
  <conditionalFormatting sqref="K33:O35">
    <cfRule type="cellIs" dxfId="53" priority="128" stopIfTrue="1" operator="lessThan">
      <formula>($J33)*0.6</formula>
    </cfRule>
    <cfRule type="cellIs" dxfId="52" priority="127" stopIfTrue="1" operator="greaterThan">
      <formula>$J33</formula>
    </cfRule>
    <cfRule type="cellIs" dxfId="51" priority="126" stopIfTrue="1" operator="between">
      <formula>($J33)*0.8</formula>
      <formula>($J33)</formula>
    </cfRule>
    <cfRule type="cellIs" dxfId="50" priority="125" stopIfTrue="1" operator="between">
      <formula>($J33)*0.6</formula>
      <formula>($J33)*0.8</formula>
    </cfRule>
  </conditionalFormatting>
  <conditionalFormatting sqref="K37:O38">
    <cfRule type="cellIs" dxfId="49" priority="120" stopIfTrue="1" operator="lessThan">
      <formula>($J37)*0.6</formula>
    </cfRule>
    <cfRule type="cellIs" dxfId="48" priority="119" stopIfTrue="1" operator="greaterThan">
      <formula>$J37</formula>
    </cfRule>
    <cfRule type="cellIs" dxfId="47" priority="118" stopIfTrue="1" operator="between">
      <formula>($J37)*0.8</formula>
      <formula>($J37)</formula>
    </cfRule>
    <cfRule type="cellIs" dxfId="46" priority="117" stopIfTrue="1" operator="between">
      <formula>($J37)*0.6</formula>
      <formula>($J37)*0.8</formula>
    </cfRule>
  </conditionalFormatting>
  <conditionalFormatting sqref="K80:O80">
    <cfRule type="cellIs" dxfId="45" priority="43" stopIfTrue="1" operator="greaterThan">
      <formula>$J80</formula>
    </cfRule>
    <cfRule type="cellIs" dxfId="44" priority="41" stopIfTrue="1" operator="between">
      <formula>($J80)*0.6</formula>
      <formula>($J80)*0.8</formula>
    </cfRule>
    <cfRule type="cellIs" dxfId="43" priority="42" stopIfTrue="1" operator="between">
      <formula>($J80)*0.8</formula>
      <formula>($J80)</formula>
    </cfRule>
    <cfRule type="cellIs" dxfId="42" priority="44" stopIfTrue="1" operator="lessThan">
      <formula>($J80)*0.6</formula>
    </cfRule>
  </conditionalFormatting>
  <conditionalFormatting sqref="K106:O106">
    <cfRule type="cellIs" dxfId="41" priority="63" stopIfTrue="1" operator="greaterThan">
      <formula>$J104</formula>
    </cfRule>
    <cfRule type="cellIs" dxfId="40" priority="64" stopIfTrue="1" operator="lessThan">
      <formula>($J106)*0.6</formula>
    </cfRule>
  </conditionalFormatting>
  <conditionalFormatting sqref="K108:O108">
    <cfRule type="cellIs" dxfId="39" priority="178" stopIfTrue="1" operator="greaterThan">
      <formula>$J105</formula>
    </cfRule>
    <cfRule type="cellIs" dxfId="38" priority="179" stopIfTrue="1" operator="lessThan">
      <formula>($J108)*0.6</formula>
    </cfRule>
  </conditionalFormatting>
  <conditionalFormatting sqref="K11:P17">
    <cfRule type="cellIs" dxfId="37" priority="33" stopIfTrue="1" operator="between">
      <formula>($J11)*0.6</formula>
      <formula>($J11)*0.8</formula>
    </cfRule>
    <cfRule type="cellIs" dxfId="36" priority="34" stopIfTrue="1" operator="between">
      <formula>($J11)*0.8</formula>
      <formula>($J11)</formula>
    </cfRule>
    <cfRule type="cellIs" dxfId="35" priority="35" stopIfTrue="1" operator="greaterThan">
      <formula>$J11</formula>
    </cfRule>
    <cfRule type="cellIs" dxfId="34" priority="36" stopIfTrue="1" operator="lessThan">
      <formula>($J11)*0.6</formula>
    </cfRule>
  </conditionalFormatting>
  <conditionalFormatting sqref="K19:P22">
    <cfRule type="cellIs" dxfId="33" priority="21" stopIfTrue="1" operator="between">
      <formula>($J19)*0.6</formula>
      <formula>($J19)*0.8</formula>
    </cfRule>
    <cfRule type="cellIs" dxfId="32" priority="22" stopIfTrue="1" operator="between">
      <formula>($J19)*0.8</formula>
      <formula>($J19)</formula>
    </cfRule>
    <cfRule type="cellIs" dxfId="31" priority="23" stopIfTrue="1" operator="greaterThan">
      <formula>$J19</formula>
    </cfRule>
    <cfRule type="cellIs" dxfId="30" priority="24" stopIfTrue="1" operator="lessThan">
      <formula>($J19)*0.6</formula>
    </cfRule>
  </conditionalFormatting>
  <conditionalFormatting sqref="K30:P31">
    <cfRule type="cellIs" dxfId="29" priority="133" stopIfTrue="1" operator="between">
      <formula>($J30)*0.6</formula>
      <formula>($J30)*0.8</formula>
    </cfRule>
    <cfRule type="cellIs" dxfId="28" priority="134" stopIfTrue="1" operator="between">
      <formula>($J30)*0.8</formula>
      <formula>($J30)</formula>
    </cfRule>
    <cfRule type="cellIs" dxfId="27" priority="136" stopIfTrue="1" operator="lessThan">
      <formula>($J30)*0.6</formula>
    </cfRule>
    <cfRule type="cellIs" dxfId="26" priority="135" stopIfTrue="1" operator="greaterThan">
      <formula>$J30</formula>
    </cfRule>
  </conditionalFormatting>
  <conditionalFormatting sqref="K51:P53">
    <cfRule type="cellIs" dxfId="25" priority="101" stopIfTrue="1" operator="between">
      <formula>($J51)*0.6</formula>
      <formula>($J51)*0.8</formula>
    </cfRule>
    <cfRule type="cellIs" dxfId="24" priority="102" stopIfTrue="1" operator="between">
      <formula>($J51)*0.8</formula>
      <formula>($J51)</formula>
    </cfRule>
    <cfRule type="cellIs" dxfId="23" priority="104" stopIfTrue="1" operator="lessThan">
      <formula>($J51)*0.6</formula>
    </cfRule>
    <cfRule type="cellIs" dxfId="22" priority="103" stopIfTrue="1" operator="greaterThan">
      <formula>$J51</formula>
    </cfRule>
  </conditionalFormatting>
  <conditionalFormatting sqref="K77:P79 P80:P82">
    <cfRule type="cellIs" dxfId="21" priority="48" stopIfTrue="1" operator="lessThan">
      <formula>($J77)*0.6</formula>
    </cfRule>
    <cfRule type="cellIs" dxfId="20" priority="47" stopIfTrue="1" operator="greaterThan">
      <formula>$J77</formula>
    </cfRule>
    <cfRule type="cellIs" dxfId="19" priority="46" stopIfTrue="1" operator="between">
      <formula>($J77)*0.8</formula>
      <formula>($J77)</formula>
    </cfRule>
    <cfRule type="cellIs" dxfId="18" priority="45" stopIfTrue="1" operator="between">
      <formula>($J77)*0.6</formula>
      <formula>($J77)*0.8</formula>
    </cfRule>
  </conditionalFormatting>
  <conditionalFormatting sqref="K106:P106">
    <cfRule type="cellIs" dxfId="17" priority="62" stopIfTrue="1" operator="between">
      <formula>($J106)*0.8</formula>
      <formula>($J106)</formula>
    </cfRule>
    <cfRule type="cellIs" dxfId="16" priority="61" stopIfTrue="1" operator="between">
      <formula>($J106)*0.6</formula>
      <formula>($J106)*0.8</formula>
    </cfRule>
  </conditionalFormatting>
  <conditionalFormatting sqref="L89:O90 K89:K94 L92:O93">
    <cfRule type="cellIs" dxfId="15" priority="69" stopIfTrue="1" operator="between">
      <formula>($J89)*0.6</formula>
      <formula>($J89)*0.8</formula>
    </cfRule>
    <cfRule type="cellIs" dxfId="14" priority="72" stopIfTrue="1" operator="lessThan">
      <formula>($J89)*0.6</formula>
    </cfRule>
    <cfRule type="cellIs" dxfId="13" priority="71" stopIfTrue="1" operator="greaterThan">
      <formula>$J89</formula>
    </cfRule>
    <cfRule type="cellIs" dxfId="12" priority="70" stopIfTrue="1" operator="between">
      <formula>($J89)*0.8</formula>
      <formula>($J89)</formula>
    </cfRule>
  </conditionalFormatting>
  <conditionalFormatting sqref="L66:P67 K66:K70 P68 L69:P70">
    <cfRule type="cellIs" dxfId="11" priority="85" stopIfTrue="1" operator="between">
      <formula>($J66)*0.6</formula>
      <formula>($J66)*0.8</formula>
    </cfRule>
    <cfRule type="cellIs" dxfId="10" priority="86" stopIfTrue="1" operator="between">
      <formula>($J66)*0.8</formula>
      <formula>($J66)</formula>
    </cfRule>
    <cfRule type="cellIs" dxfId="9" priority="87" stopIfTrue="1" operator="greaterThan">
      <formula>$J66</formula>
    </cfRule>
    <cfRule type="cellIs" dxfId="8" priority="88" stopIfTrue="1" operator="lessThan">
      <formula>($J66)*0.6</formula>
    </cfRule>
  </conditionalFormatting>
  <conditionalFormatting sqref="P33:P40">
    <cfRule type="cellIs" dxfId="7" priority="17" stopIfTrue="1" operator="between">
      <formula>($J33)*0.6</formula>
      <formula>($J33)*0.8</formula>
    </cfRule>
    <cfRule type="cellIs" dxfId="6" priority="20" stopIfTrue="1" operator="lessThan">
      <formula>($J33)*0.6</formula>
    </cfRule>
    <cfRule type="cellIs" dxfId="5" priority="19" stopIfTrue="1" operator="greaterThan">
      <formula>$J33</formula>
    </cfRule>
    <cfRule type="cellIs" dxfId="4" priority="18" stopIfTrue="1" operator="between">
      <formula>($J33)*0.8</formula>
      <formula>($J33)</formula>
    </cfRule>
  </conditionalFormatting>
  <conditionalFormatting sqref="P89:P94 K101 P101 K102:P102 K104:P104 K108:P108">
    <cfRule type="cellIs" dxfId="3" priority="157" stopIfTrue="1" operator="between">
      <formula>($J89)*0.6</formula>
      <formula>($J89)*0.8</formula>
    </cfRule>
    <cfRule type="cellIs" dxfId="2" priority="161" stopIfTrue="1" operator="between">
      <formula>($J89)*0.8</formula>
      <formula>($J89)</formula>
    </cfRule>
  </conditionalFormatting>
  <conditionalFormatting sqref="P89:P94 K101 P101 K102:P102 K104:P104 P106 P108">
    <cfRule type="cellIs" dxfId="1" priority="163" stopIfTrue="1" operator="lessThan">
      <formula>($J89)*0.6</formula>
    </cfRule>
  </conditionalFormatting>
  <conditionalFormatting sqref="P89:P94 K101 P101 K102:P102 K104:P104 P108 P106">
    <cfRule type="cellIs" dxfId="0" priority="162" stopIfTrue="1" operator="greaterThan">
      <formula>$J89</formula>
    </cfRule>
  </conditionalFormatting>
  <printOptions horizontalCentered="1"/>
  <pageMargins left="0.196850393700787" right="0.196850393700787" top="1" bottom="0.74803149606299202" header="0.15748031496063" footer="0.62992125984252001"/>
  <pageSetup paperSize="9" scale="56" fitToHeight="0" orientation="landscape" r:id="rId1"/>
  <headerFooter>
    <oddFooter>&amp;L&amp;8&amp;F&amp;C&amp;P of &amp;N</oddFooter>
  </headerFooter>
  <rowBreaks count="4" manualBreakCount="4">
    <brk id="26" min="1" max="15" man="1"/>
    <brk id="40" min="1" max="15" man="1"/>
    <brk id="57" min="1" max="15" man="1"/>
    <brk id="86" min="1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B1:F22"/>
  <sheetViews>
    <sheetView zoomScale="70" zoomScaleNormal="70" zoomScaleSheetLayoutView="115" workbookViewId="0">
      <selection activeCell="I11" sqref="I11"/>
    </sheetView>
  </sheetViews>
  <sheetFormatPr defaultColWidth="9.140625" defaultRowHeight="18" x14ac:dyDescent="0.25"/>
  <cols>
    <col min="1" max="1" width="6.42578125" style="1" customWidth="1"/>
    <col min="2" max="2" width="15.7109375" style="1" customWidth="1"/>
    <col min="3" max="3" width="45.85546875" style="1" customWidth="1"/>
    <col min="4" max="4" width="22.140625" style="1" customWidth="1"/>
    <col min="5" max="5" width="16.7109375" style="1" customWidth="1"/>
    <col min="6" max="6" width="36.85546875" style="1" customWidth="1"/>
    <col min="7" max="7" width="7.85546875" style="1" customWidth="1"/>
    <col min="8" max="8" width="10.28515625" style="1" customWidth="1"/>
    <col min="9" max="9" width="11.42578125" style="1" customWidth="1"/>
    <col min="10" max="10" width="25.7109375" style="1" customWidth="1"/>
    <col min="11" max="11" width="11.7109375" style="1" customWidth="1"/>
    <col min="12" max="16384" width="9.140625" style="1"/>
  </cols>
  <sheetData>
    <row r="1" spans="2:6" ht="12" customHeight="1" x14ac:dyDescent="0.25"/>
    <row r="2" spans="2:6" ht="30.75" customHeight="1" x14ac:dyDescent="0.25">
      <c r="B2" s="674" t="s">
        <v>155</v>
      </c>
      <c r="C2" s="674"/>
      <c r="D2" s="674"/>
      <c r="E2" s="674"/>
      <c r="F2" s="674"/>
    </row>
    <row r="3" spans="2:6" ht="30.75" customHeight="1" x14ac:dyDescent="0.25">
      <c r="B3" s="674" t="s">
        <v>58</v>
      </c>
      <c r="C3" s="674"/>
      <c r="D3" s="674"/>
      <c r="E3" s="674"/>
      <c r="F3" s="674"/>
    </row>
    <row r="4" spans="2:6" ht="10.5" customHeight="1" thickBot="1" x14ac:dyDescent="0.3"/>
    <row r="5" spans="2:6" ht="48.75" customHeight="1" thickBot="1" x14ac:dyDescent="0.3">
      <c r="B5" s="357" t="s">
        <v>34</v>
      </c>
      <c r="C5" s="358" t="s">
        <v>35</v>
      </c>
      <c r="D5" s="359" t="s">
        <v>36</v>
      </c>
      <c r="E5" s="357" t="s">
        <v>37</v>
      </c>
      <c r="F5" s="357" t="s">
        <v>38</v>
      </c>
    </row>
    <row r="6" spans="2:6" ht="48.75" customHeight="1" x14ac:dyDescent="0.25">
      <c r="B6" s="318" t="s">
        <v>137</v>
      </c>
      <c r="C6" s="316" t="s">
        <v>161</v>
      </c>
      <c r="D6" s="320" t="s">
        <v>4</v>
      </c>
      <c r="E6" s="322" t="s">
        <v>4</v>
      </c>
      <c r="F6" s="322" t="s">
        <v>4</v>
      </c>
    </row>
    <row r="7" spans="2:6" ht="45" customHeight="1" x14ac:dyDescent="0.25">
      <c r="B7" s="319" t="s">
        <v>39</v>
      </c>
      <c r="C7" s="317" t="s">
        <v>44</v>
      </c>
      <c r="D7" s="321">
        <f>'Summary (Section B-H)'!J23</f>
        <v>15</v>
      </c>
      <c r="E7" s="323">
        <f>'Summary (Section B-H)'!P23</f>
        <v>0</v>
      </c>
      <c r="F7" s="324" t="s">
        <v>52</v>
      </c>
    </row>
    <row r="8" spans="2:6" ht="45" customHeight="1" x14ac:dyDescent="0.25">
      <c r="B8" s="319" t="s">
        <v>40</v>
      </c>
      <c r="C8" s="317" t="s">
        <v>45</v>
      </c>
      <c r="D8" s="321">
        <f>'Summary (Section B-H)'!J45</f>
        <v>35</v>
      </c>
      <c r="E8" s="323">
        <f>'Summary (Section B-H)'!P45</f>
        <v>0</v>
      </c>
      <c r="F8" s="325" t="s">
        <v>53</v>
      </c>
    </row>
    <row r="9" spans="2:6" ht="45" customHeight="1" x14ac:dyDescent="0.25">
      <c r="B9" s="319" t="s">
        <v>41</v>
      </c>
      <c r="C9" s="317" t="s">
        <v>46</v>
      </c>
      <c r="D9" s="321">
        <f>'Summary (Section B-H)'!J54</f>
        <v>10</v>
      </c>
      <c r="E9" s="323">
        <f>'Summary (Section B-H)'!P54</f>
        <v>0</v>
      </c>
      <c r="F9" s="325" t="s">
        <v>54</v>
      </c>
    </row>
    <row r="10" spans="2:6" ht="45" customHeight="1" x14ac:dyDescent="0.25">
      <c r="B10" s="319" t="s">
        <v>42</v>
      </c>
      <c r="C10" s="317" t="s">
        <v>47</v>
      </c>
      <c r="D10" s="321">
        <f>'Summary (Section B-H)'!J71</f>
        <v>15</v>
      </c>
      <c r="E10" s="323">
        <f>'Summary (Section B-H)'!P71</f>
        <v>0</v>
      </c>
      <c r="F10" s="325" t="s">
        <v>55</v>
      </c>
    </row>
    <row r="11" spans="2:6" ht="45" customHeight="1" x14ac:dyDescent="0.25">
      <c r="B11" s="319" t="s">
        <v>50</v>
      </c>
      <c r="C11" s="317" t="s">
        <v>48</v>
      </c>
      <c r="D11" s="321">
        <f>'Summary (Section B-H)'!J83</f>
        <v>10</v>
      </c>
      <c r="E11" s="323">
        <f>'Summary (Section B-H)'!P83</f>
        <v>0</v>
      </c>
      <c r="F11" s="325" t="s">
        <v>53</v>
      </c>
    </row>
    <row r="12" spans="2:6" ht="45" customHeight="1" x14ac:dyDescent="0.25">
      <c r="B12" s="319" t="s">
        <v>51</v>
      </c>
      <c r="C12" s="317" t="s">
        <v>49</v>
      </c>
      <c r="D12" s="321">
        <f>'Summary (Section B-H)'!J95</f>
        <v>12.000000000000002</v>
      </c>
      <c r="E12" s="323">
        <f>'Summary (Section B-H)'!P95</f>
        <v>0</v>
      </c>
      <c r="F12" s="324" t="s">
        <v>56</v>
      </c>
    </row>
    <row r="13" spans="2:6" ht="45" customHeight="1" thickBot="1" x14ac:dyDescent="0.3">
      <c r="B13" s="327" t="s">
        <v>68</v>
      </c>
      <c r="C13" s="328" t="s">
        <v>78</v>
      </c>
      <c r="D13" s="329">
        <f>'Summary (Section B-H)'!J110</f>
        <v>3</v>
      </c>
      <c r="E13" s="330">
        <f>'Summary (Section B-H)'!P110</f>
        <v>0</v>
      </c>
      <c r="F13" s="331" t="s">
        <v>57</v>
      </c>
    </row>
    <row r="14" spans="2:6" ht="45" customHeight="1" thickBot="1" x14ac:dyDescent="0.3">
      <c r="B14" s="675" t="s">
        <v>43</v>
      </c>
      <c r="C14" s="676"/>
      <c r="D14" s="360">
        <f>SUM(D7:D13)</f>
        <v>100</v>
      </c>
      <c r="E14" s="361">
        <f>SUM(E7:E13)</f>
        <v>0</v>
      </c>
      <c r="F14" s="326"/>
    </row>
    <row r="15" spans="2:6" x14ac:dyDescent="0.25">
      <c r="B15" s="132"/>
      <c r="C15" s="133"/>
      <c r="D15" s="134"/>
    </row>
    <row r="16" spans="2:6" ht="20.25" x14ac:dyDescent="0.25">
      <c r="B16" s="174" t="s">
        <v>156</v>
      </c>
      <c r="C16"/>
      <c r="D16"/>
    </row>
    <row r="17" spans="2:5" x14ac:dyDescent="0.25">
      <c r="B17" s="131" t="s">
        <v>157</v>
      </c>
      <c r="C17"/>
      <c r="D17"/>
    </row>
    <row r="18" spans="2:5" x14ac:dyDescent="0.25">
      <c r="B18" s="131" t="s">
        <v>160</v>
      </c>
      <c r="C18"/>
      <c r="D18"/>
    </row>
    <row r="21" spans="2:5" ht="24.75" customHeight="1" x14ac:dyDescent="0.25">
      <c r="D21" s="200" t="s">
        <v>162</v>
      </c>
      <c r="E21" s="202">
        <f>E14</f>
        <v>0</v>
      </c>
    </row>
    <row r="22" spans="2:5" ht="24.75" customHeight="1" x14ac:dyDescent="0.25">
      <c r="D22" s="200" t="s">
        <v>163</v>
      </c>
      <c r="E22" s="202">
        <f>SUM(E7:E9)</f>
        <v>0</v>
      </c>
    </row>
  </sheetData>
  <sheetProtection sheet="1" selectLockedCells="1" selectUnlockedCells="1"/>
  <mergeCells count="3">
    <mergeCell ref="B2:F2"/>
    <mergeCell ref="B14:C14"/>
    <mergeCell ref="B3:F3"/>
  </mergeCells>
  <pageMargins left="0.39370078740157483" right="0.43307086614173229" top="0.23622047244094491" bottom="0.43307086614173229" header="0.15748031496062992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2:D22"/>
  <sheetViews>
    <sheetView topLeftCell="B1" zoomScale="90" zoomScaleNormal="90" zoomScaleSheetLayoutView="100" workbookViewId="0">
      <selection activeCell="F6" sqref="F6"/>
    </sheetView>
  </sheetViews>
  <sheetFormatPr defaultColWidth="9.140625" defaultRowHeight="17.25" x14ac:dyDescent="0.3"/>
  <cols>
    <col min="1" max="1" width="2.7109375" style="135" customWidth="1"/>
    <col min="2" max="2" width="6.28515625" style="135" customWidth="1"/>
    <col min="3" max="3" width="90.7109375" style="135" customWidth="1"/>
    <col min="4" max="4" width="14.5703125" style="135" customWidth="1"/>
    <col min="5" max="5" width="2.7109375" style="135" customWidth="1"/>
    <col min="6" max="16384" width="9.140625" style="135"/>
  </cols>
  <sheetData>
    <row r="2" spans="1:4" ht="68.25" customHeight="1" x14ac:dyDescent="0.3">
      <c r="B2" s="679" t="s">
        <v>300</v>
      </c>
      <c r="C2" s="680"/>
      <c r="D2" s="681"/>
    </row>
    <row r="3" spans="1:4" ht="35.25" customHeight="1" x14ac:dyDescent="0.3">
      <c r="A3" s="136"/>
      <c r="B3" s="137"/>
      <c r="C3" s="138"/>
      <c r="D3" s="139"/>
    </row>
    <row r="4" spans="1:4" ht="42" customHeight="1" x14ac:dyDescent="0.3">
      <c r="B4" s="140" t="s">
        <v>137</v>
      </c>
      <c r="C4" s="141" t="s">
        <v>138</v>
      </c>
      <c r="D4" s="142"/>
    </row>
    <row r="5" spans="1:4" ht="42" customHeight="1" x14ac:dyDescent="0.3">
      <c r="B5" s="140"/>
      <c r="C5" s="141" t="s">
        <v>139</v>
      </c>
      <c r="D5" s="142"/>
    </row>
    <row r="6" spans="1:4" ht="42" customHeight="1" x14ac:dyDescent="0.3">
      <c r="B6" s="140"/>
      <c r="C6" s="141" t="s">
        <v>140</v>
      </c>
      <c r="D6" s="142"/>
    </row>
    <row r="7" spans="1:4" ht="35.25" customHeight="1" x14ac:dyDescent="0.3">
      <c r="B7" s="143"/>
      <c r="C7" s="144"/>
      <c r="D7" s="145"/>
    </row>
    <row r="8" spans="1:4" ht="44.25" customHeight="1" x14ac:dyDescent="0.3">
      <c r="B8" s="677" t="s">
        <v>141</v>
      </c>
      <c r="C8" s="678"/>
      <c r="D8" s="146"/>
    </row>
    <row r="9" spans="1:4" x14ac:dyDescent="0.3">
      <c r="A9" s="136"/>
      <c r="B9" s="137"/>
      <c r="C9" s="138"/>
      <c r="D9" s="139"/>
    </row>
    <row r="10" spans="1:4" ht="28.5" customHeight="1" x14ac:dyDescent="0.3">
      <c r="B10" s="140" t="s">
        <v>39</v>
      </c>
      <c r="C10" s="147" t="s">
        <v>211</v>
      </c>
      <c r="D10" s="142"/>
    </row>
    <row r="11" spans="1:4" ht="28.5" customHeight="1" x14ac:dyDescent="0.3">
      <c r="B11" s="140"/>
      <c r="C11" s="147" t="s">
        <v>211</v>
      </c>
      <c r="D11" s="142"/>
    </row>
    <row r="12" spans="1:4" ht="28.5" customHeight="1" x14ac:dyDescent="0.3">
      <c r="B12" s="140"/>
      <c r="C12" s="147" t="s">
        <v>211</v>
      </c>
      <c r="D12" s="142"/>
    </row>
    <row r="13" spans="1:4" ht="28.5" customHeight="1" x14ac:dyDescent="0.3">
      <c r="B13" s="140"/>
      <c r="C13" s="147" t="s">
        <v>211</v>
      </c>
      <c r="D13" s="142"/>
    </row>
    <row r="14" spans="1:4" ht="28.5" customHeight="1" x14ac:dyDescent="0.3">
      <c r="B14" s="140"/>
      <c r="C14" s="147" t="s">
        <v>211</v>
      </c>
      <c r="D14" s="142"/>
    </row>
    <row r="15" spans="1:4" ht="28.5" customHeight="1" x14ac:dyDescent="0.3">
      <c r="B15" s="140"/>
      <c r="C15" s="147" t="s">
        <v>211</v>
      </c>
      <c r="D15" s="142"/>
    </row>
    <row r="16" spans="1:4" ht="28.5" customHeight="1" x14ac:dyDescent="0.3">
      <c r="B16" s="140"/>
      <c r="C16" s="147" t="s">
        <v>211</v>
      </c>
      <c r="D16" s="142"/>
    </row>
    <row r="17" spans="2:4" ht="28.5" customHeight="1" x14ac:dyDescent="0.3">
      <c r="B17" s="140"/>
      <c r="C17" s="147" t="s">
        <v>211</v>
      </c>
      <c r="D17" s="142"/>
    </row>
    <row r="18" spans="2:4" ht="28.5" customHeight="1" x14ac:dyDescent="0.3">
      <c r="B18" s="140"/>
      <c r="C18" s="147" t="s">
        <v>211</v>
      </c>
      <c r="D18" s="142"/>
    </row>
    <row r="19" spans="2:4" ht="28.5" customHeight="1" x14ac:dyDescent="0.3">
      <c r="B19" s="140"/>
      <c r="C19" s="147" t="s">
        <v>211</v>
      </c>
      <c r="D19" s="142"/>
    </row>
    <row r="20" spans="2:4" ht="150.75" customHeight="1" x14ac:dyDescent="0.3">
      <c r="B20" s="148"/>
      <c r="C20" s="149" t="s">
        <v>142</v>
      </c>
      <c r="D20" s="145"/>
    </row>
    <row r="21" spans="2:4" ht="43.5" customHeight="1" x14ac:dyDescent="0.3">
      <c r="B21" s="677" t="s">
        <v>143</v>
      </c>
      <c r="C21" s="678"/>
      <c r="D21" s="146"/>
    </row>
    <row r="22" spans="2:4" ht="150.75" customHeight="1" x14ac:dyDescent="0.3">
      <c r="B22" s="150" t="s">
        <v>144</v>
      </c>
      <c r="C22" s="151" t="s">
        <v>145</v>
      </c>
      <c r="D22" s="152"/>
    </row>
  </sheetData>
  <sheetProtection selectLockedCells="1" selectUnlockedCells="1"/>
  <mergeCells count="3">
    <mergeCell ref="B8:C8"/>
    <mergeCell ref="B21:C21"/>
    <mergeCell ref="B2:D2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Main</vt:lpstr>
      <vt:lpstr>Data (Section A-H)</vt:lpstr>
      <vt:lpstr>Summary (Section B-H)</vt:lpstr>
      <vt:lpstr>Result</vt:lpstr>
      <vt:lpstr>Endorsement RMC &amp; TNC(PI)</vt:lpstr>
      <vt:lpstr>'Endorsement RMC &amp; TNC(PI)'!Print_Area</vt:lpstr>
      <vt:lpstr>Main!Print_Area</vt:lpstr>
      <vt:lpstr>Result!Print_Area</vt:lpstr>
      <vt:lpstr>'Summary (Section B-H)'!Print_Area</vt:lpstr>
    </vt:vector>
  </TitlesOfParts>
  <Company>Ministry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KPT</dc:creator>
  <cp:lastModifiedBy>Miza Alwani Mohamad Yusof</cp:lastModifiedBy>
  <cp:lastPrinted>2024-01-29T03:43:54Z</cp:lastPrinted>
  <dcterms:created xsi:type="dcterms:W3CDTF">2010-08-11T07:17:09Z</dcterms:created>
  <dcterms:modified xsi:type="dcterms:W3CDTF">2024-05-23T03:07:31Z</dcterms:modified>
</cp:coreProperties>
</file>